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asantos\Desktop\ANYI planeación\PÁGINA WEB\"/>
    </mc:Choice>
  </mc:AlternateContent>
  <xr:revisionPtr revIDLastSave="0" documentId="8_{6E0E04D5-083A-4463-BE28-54765AA3A31F}" xr6:coauthVersionLast="47" xr6:coauthVersionMax="47" xr10:uidLastSave="{00000000-0000-0000-0000-000000000000}"/>
  <bookViews>
    <workbookView xWindow="-120" yWindow="-120" windowWidth="20730" windowHeight="11160" xr2:uid="{00000000-000D-0000-FFFF-FFFF00000000}"/>
  </bookViews>
  <sheets>
    <sheet name="PAI DTB 202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75" i="1" l="1"/>
  <c r="AH74" i="1"/>
  <c r="AH73" i="1"/>
  <c r="AH12" i="1"/>
  <c r="AG12" i="1"/>
  <c r="AH57" i="1"/>
  <c r="V71" i="1" l="1"/>
  <c r="AH69" i="1"/>
  <c r="AG69" i="1"/>
  <c r="V69" i="1"/>
  <c r="AH67" i="1"/>
  <c r="AG67" i="1"/>
  <c r="V67" i="1"/>
  <c r="AH66" i="1"/>
  <c r="AG65" i="1"/>
  <c r="AH65" i="1"/>
  <c r="V65" i="1"/>
  <c r="AH36" i="1" l="1"/>
  <c r="AH35" i="1"/>
  <c r="AH32" i="1"/>
  <c r="AH29" i="1"/>
  <c r="AH24" i="1"/>
  <c r="AH23" i="1"/>
  <c r="Y34" i="1" l="1"/>
  <c r="X34" i="1"/>
  <c r="Y33" i="1"/>
  <c r="Y32" i="1"/>
  <c r="X32" i="1"/>
  <c r="Y29" i="1"/>
  <c r="Y28" i="1"/>
  <c r="Y24" i="1"/>
  <c r="Y23" i="1"/>
  <c r="Y22" i="1"/>
  <c r="AK13" i="1" l="1"/>
  <c r="AK14" i="1"/>
  <c r="AK15" i="1"/>
  <c r="AK16" i="1"/>
  <c r="AK17" i="1"/>
  <c r="AK18" i="1"/>
  <c r="AK41" i="1"/>
  <c r="AK42" i="1"/>
  <c r="AK43" i="1"/>
  <c r="AK44" i="1"/>
  <c r="AK45" i="1"/>
  <c r="AK40" i="1"/>
  <c r="AG52" i="1"/>
  <c r="V52" i="1"/>
  <c r="V40" i="1"/>
  <c r="AG40" i="1" s="1"/>
  <c r="AK90" i="1" l="1"/>
  <c r="AK91" i="1"/>
  <c r="AK92" i="1"/>
  <c r="AK93" i="1"/>
  <c r="AK94" i="1"/>
  <c r="AK95" i="1"/>
  <c r="AK96" i="1"/>
  <c r="AK97" i="1"/>
  <c r="AK98" i="1"/>
  <c r="AK99" i="1"/>
  <c r="AK100" i="1"/>
  <c r="AK101" i="1"/>
  <c r="AK102" i="1"/>
  <c r="AK103" i="1"/>
  <c r="AK104" i="1"/>
  <c r="AK89" i="1"/>
  <c r="AK80" i="1"/>
  <c r="AK81" i="1"/>
  <c r="AK82" i="1"/>
  <c r="AK83" i="1"/>
  <c r="AK84" i="1"/>
  <c r="AK85" i="1"/>
  <c r="AK79" i="1"/>
  <c r="AK67" i="1"/>
  <c r="AK66" i="1"/>
  <c r="AK68" i="1"/>
  <c r="AK69" i="1"/>
  <c r="AK70" i="1"/>
  <c r="AK71" i="1"/>
  <c r="AK74" i="1"/>
  <c r="AK75" i="1"/>
  <c r="AK65" i="1"/>
  <c r="AG72" i="1"/>
  <c r="AK72" i="1" s="1"/>
  <c r="AG73" i="1"/>
  <c r="AK73" i="1" s="1"/>
  <c r="AG74" i="1"/>
  <c r="AG75" i="1"/>
  <c r="AG60" i="1"/>
  <c r="AK60" i="1" s="1"/>
  <c r="AG58" i="1"/>
  <c r="AK58" i="1" s="1"/>
  <c r="AG57" i="1"/>
  <c r="AK57" i="1" s="1"/>
  <c r="AG56" i="1"/>
  <c r="AK56" i="1" s="1"/>
  <c r="AG55" i="1"/>
  <c r="AK55" i="1" s="1"/>
  <c r="AK50" i="1"/>
  <c r="AK51" i="1"/>
  <c r="AK52" i="1"/>
  <c r="AK53" i="1"/>
  <c r="AK54" i="1"/>
  <c r="AK59" i="1"/>
  <c r="AK61" i="1"/>
  <c r="AK49" i="1"/>
  <c r="AG36" i="1"/>
  <c r="AG35" i="1"/>
  <c r="AK35" i="1" s="1"/>
  <c r="AG33" i="1"/>
  <c r="AK36" i="1"/>
  <c r="AG32" i="1"/>
  <c r="AK32" i="1" s="1"/>
  <c r="AG29" i="1"/>
  <c r="AK29" i="1" s="1"/>
  <c r="AG24" i="1"/>
  <c r="AK24" i="1" s="1"/>
  <c r="AK23" i="1"/>
  <c r="AK25" i="1"/>
  <c r="AK26" i="1"/>
  <c r="AK27" i="1"/>
  <c r="AK28" i="1"/>
  <c r="AK30" i="1"/>
  <c r="AK31" i="1"/>
  <c r="AK33" i="1"/>
  <c r="AK34" i="1"/>
  <c r="AK22" i="1"/>
  <c r="AK9" i="1"/>
  <c r="V15" i="1"/>
  <c r="AK12" i="1"/>
  <c r="AK11" i="1"/>
  <c r="AK10" i="1"/>
  <c r="V74" i="1"/>
  <c r="V73" i="1"/>
  <c r="V72" i="1"/>
  <c r="V68" i="1"/>
  <c r="V66" i="1"/>
  <c r="V60" i="1"/>
  <c r="V57" i="1"/>
  <c r="V56" i="1"/>
  <c r="V55" i="1"/>
  <c r="U34" i="1"/>
  <c r="V33" i="1"/>
  <c r="V32" i="1"/>
  <c r="U32" i="1"/>
  <c r="V24" i="1"/>
  <c r="V23" i="1"/>
  <c r="AE68" i="1" l="1"/>
  <c r="AB68" i="1"/>
  <c r="E35" i="1"/>
</calcChain>
</file>

<file path=xl/sharedStrings.xml><?xml version="1.0" encoding="utf-8"?>
<sst xmlns="http://schemas.openxmlformats.org/spreadsheetml/2006/main" count="954" uniqueCount="519">
  <si>
    <t>PROCESO DIRECCIONAMIENTO ESTRATEGICO</t>
  </si>
  <si>
    <t>Serie: 140-9.0-65</t>
  </si>
  <si>
    <t>PLAN DE ACCIÓN INSTITUCIONAL DIRECCIÓN DE TRÁNSITO DE BUCARAMANGA</t>
  </si>
  <si>
    <t>Version:07</t>
  </si>
  <si>
    <t>Pagina: 1 de 1</t>
  </si>
  <si>
    <t xml:space="preserve">DIRECCION GENERAL </t>
  </si>
  <si>
    <t>Ítem</t>
  </si>
  <si>
    <t>Actividades Planteadas para el cumplimiento de los objetivos</t>
  </si>
  <si>
    <t>Presupuesto requerido para el cumplimiento de las actividades</t>
  </si>
  <si>
    <t>Indicador</t>
  </si>
  <si>
    <t>Meta</t>
  </si>
  <si>
    <t>Tiempos de ejecución de cada actividad (Inicio-fin)</t>
  </si>
  <si>
    <t>Responsable Directo</t>
  </si>
  <si>
    <t>Reporte
I Trimestre</t>
  </si>
  <si>
    <t>Reporte
II Trimestre</t>
  </si>
  <si>
    <t>Reporte
III Trimestre</t>
  </si>
  <si>
    <t>Reporte
IV Trimestre</t>
  </si>
  <si>
    <t>Seguimiento 
(Diligenciado por Oficina de Planeación)</t>
  </si>
  <si>
    <t>E</t>
  </si>
  <si>
    <t>F</t>
  </si>
  <si>
    <t>M</t>
  </si>
  <si>
    <t>A</t>
  </si>
  <si>
    <t>J</t>
  </si>
  <si>
    <t>S</t>
  </si>
  <si>
    <t>O</t>
  </si>
  <si>
    <t>N</t>
  </si>
  <si>
    <t>D</t>
  </si>
  <si>
    <t>Fórmula
I Trimestre</t>
  </si>
  <si>
    <t>Avance de Cumplimiento de la Meta I Trimestre</t>
  </si>
  <si>
    <t>Evidencias de las Actividades Realizadas 
I Trimestre</t>
  </si>
  <si>
    <t>Fórmula
II Trimestre</t>
  </si>
  <si>
    <t>Avance de Cumplimiento de la Meta II Trimestre</t>
  </si>
  <si>
    <t>Evidencias de las Actividades Realizadas 
II Trimestre</t>
  </si>
  <si>
    <t>Fórmula
III Trimestre</t>
  </si>
  <si>
    <t>Avance de Cumplimiento de la Meta III Trimestre</t>
  </si>
  <si>
    <t>Evidencias de las Actividades Realizadas 
III Trimestre</t>
  </si>
  <si>
    <t>Fórmula
IV Trimestre</t>
  </si>
  <si>
    <t>Avance de Cumplimiento de la Meta IV Trimestre</t>
  </si>
  <si>
    <t>Evidencias de las Actividades Realizadas IV Trimestre</t>
  </si>
  <si>
    <t>I Trimestre</t>
  </si>
  <si>
    <t>II Trimestre</t>
  </si>
  <si>
    <t>III Trimestre</t>
  </si>
  <si>
    <t>IV Trimestre</t>
  </si>
  <si>
    <t>No requiere presupuesto</t>
  </si>
  <si>
    <t xml:space="preserve">Realizar la auditoria externa del Sistema de Gestión Ambiental y de Calidad </t>
  </si>
  <si>
    <t>Jefe Oficina Asesora CDA</t>
  </si>
  <si>
    <t>Formular y ejecutar el programa de mantenimiento, calibración y suministro de los equipos del CDA.</t>
  </si>
  <si>
    <t>Realizar evaluaciones periodicas y seguimiento a la gestion de la entidad con el fin de generar recomendaciones para orientar las acciones de mejoramiento de los procesos, garantizando de esta forma el cumplimiento de los objetivos y la normatividad vigente aplicable a la DTB</t>
  </si>
  <si>
    <t xml:space="preserve">Asesor Grado 02- Control Interno </t>
  </si>
  <si>
    <t>No requiere Presupuesto</t>
  </si>
  <si>
    <t>90% Anual</t>
  </si>
  <si>
    <t>Jefe Oficina Asesora de Sistemas</t>
  </si>
  <si>
    <t>Disponer de una planeación para el soporte y cuidado de la plataforma tecnologica (Hardware y Software) de la DTB</t>
  </si>
  <si>
    <t>Mantenimientos correctivos sobre  Mantenimientos realizados debe ser menor o igual al 30%</t>
  </si>
  <si>
    <t>Asesor grado 01 de registro Automotor</t>
  </si>
  <si>
    <t>Responder de acuerdo a la ley el 95% de las  PQRD de la oficina de registro automotor</t>
  </si>
  <si>
    <t>PQRD contestadas a la fecha sobreTotal de PQRD recibidas a la fecha debe ser mayor o igual al 95%</t>
  </si>
  <si>
    <t>95% Mensual</t>
  </si>
  <si>
    <t>100% Mensual</t>
  </si>
  <si>
    <t xml:space="preserve">OFICINA ASESORA DE PLANEACION </t>
  </si>
  <si>
    <t>Plan formulado</t>
  </si>
  <si>
    <t>Jefe oficina Asesora de Planeación</t>
  </si>
  <si>
    <t>Número de seguimientos realizados</t>
  </si>
  <si>
    <t>Número de proyectos elaborados y/o actualizados</t>
  </si>
  <si>
    <t xml:space="preserve">Ejecutar el plan de trabajo del MIPG de la DTB </t>
  </si>
  <si>
    <t>Mantener implementado el modelo  MIPG en la DTB</t>
  </si>
  <si>
    <t>Número de planes de trabajo ejeuctado</t>
  </si>
  <si>
    <t>No. de actualizaciones Con Publicación realizadas / Número de Actualizaciones con Publicación Aprobadas por el Comité Plan Anual de Adquisiones</t>
  </si>
  <si>
    <t xml:space="preserve">OFICINA ASESORA JURIDICA </t>
  </si>
  <si>
    <t>Dar trámite a los asuntos jurídicos de las diferentes áreas administrativas que requieren interpretación de las normas legales inherentes a la entidad,</t>
  </si>
  <si>
    <t>100% de las solicitudes juridicas atendidas.</t>
  </si>
  <si>
    <t>Jefe Oficina Asesora Juridica.</t>
  </si>
  <si>
    <t>100% de los actos administrativos revisados.</t>
  </si>
  <si>
    <t>Apoyar a las Oficinas Gestoras en el cumplimiento del proceso precontractual</t>
  </si>
  <si>
    <t xml:space="preserve">Cumplir con la etapa del  proceso precontractual  y brindar  apoyo  a  las  oficnas  gestoras  en  el proceso  poscontractual para cerrar los respectivos procesos contractuales bajo los linemientos normativos establicidos </t>
  </si>
  <si>
    <t xml:space="preserve">No. De requerimeitnos  recibidos sobre  No de requerimientos  atendidos </t>
  </si>
  <si>
    <t xml:space="preserve">Realizar 2 capacitaciones relacionadas con la  gestion contractual </t>
  </si>
  <si>
    <t xml:space="preserve">Empoderar el conocimiento y aplicación actualizada en materia  conrtactual  en los  servidores participes en las  diferentes estapas  contractuales </t>
  </si>
  <si>
    <t>%  de los procesos  judiciales  que se les realizo defensa juridica</t>
  </si>
  <si>
    <t xml:space="preserve"> Asesor Juridico Grado 02</t>
  </si>
  <si>
    <t xml:space="preserve">% de  Derechos de Petición  tramitados </t>
  </si>
  <si>
    <t>Elaborar semestralmente el Reporte de los procesos judiciales activos para la Contraloría Municipal de Bucaramanga en el respectivo formato</t>
  </si>
  <si>
    <t>Reporte semestral realizado</t>
  </si>
  <si>
    <t>Realizar informes, oficios y memorandos para directivos, entes de control y autoridades de transporte de manera oportuna y confiable la información relacionada con comparendos realizados en la DTB</t>
  </si>
  <si>
    <t>Asumir y adelantar el 100% de los recursos interpuestos dentro de los procesos contravencionales, que por competencia sean de conocimiento de la Oficina Asesora Jurídica Grado 02</t>
  </si>
  <si>
    <t xml:space="preserve">% de recursos  interpuestos  asumidos y adelantados </t>
  </si>
  <si>
    <t>Instruir el proceso contravencional de todas las órdenes  de comparendo asignada por reparto.</t>
  </si>
  <si>
    <t xml:space="preserve">% de decisones de  fondo  proferidas </t>
  </si>
  <si>
    <t xml:space="preserve">% de expedientes  de  procesos contravencionales  organziados </t>
  </si>
  <si>
    <t>Ejecutar el 90 % de los despachos comisorios</t>
  </si>
  <si>
    <t xml:space="preserve">SECRETARIA GENERAL </t>
  </si>
  <si>
    <t>Realizar reuniones mensuales del Comité Disciplinario</t>
  </si>
  <si>
    <t xml:space="preserve">Efectuar estudio sobre las actuaciones disciplinarias a surtir en relación con las quejas que vayan a ser tramitadas durante el periodo, de acuerdo al orden de prioridad definida y la naturaleza y vigencia de las conductas investigadas.                                                                                                                      </t>
  </si>
  <si>
    <t>Adelantar las actuaciones disciplinarias pertinentes para cada caso en concreto, de acuerdo a los lineamientos establecidos por la Ley 734 de 2002, estatutos, manuales y procedimientos definidos por la entidad  y con observancia del marco normativo que rige la materia.</t>
  </si>
  <si>
    <t>Realizar seguimiento mensual a la atención de las PQRS de las diferentes dependencias</t>
  </si>
  <si>
    <t>Velar por el cumplimiento oportuno en la atención de las PQRS recepcionadas en las diferentes áreas</t>
  </si>
  <si>
    <t>Informe mensual de indicador de PQRS</t>
  </si>
  <si>
    <t>Realizar la evaluación mensual de la percepción de la satisfacción al cliente</t>
  </si>
  <si>
    <t>Conocer el nivel de percepción de los usuarios de los servicios que brinda la Dirección de Tránsito de Bucaramanga</t>
  </si>
  <si>
    <t>Informe mensual de indicador satisfacción al Cliente</t>
  </si>
  <si>
    <t>Informe mensual de PQRDS no atendidas  en terminos de Ley</t>
  </si>
  <si>
    <t>Realizar el inventario semestral de los bienes muebles, bienes de consumo  planta y equipo, de propiedad de la entidad.</t>
  </si>
  <si>
    <t>número de  inventarios realizados</t>
  </si>
  <si>
    <t>Aplicar principios y criterios archivsiticos en la  ordenación y organización de los archivos de gestión, central e historico de la D.T.B., tanto para documento físico y electrónico, en cumplimiento a los lineamientos adminsitrativos, técnicos y legales adoptados por la entidad</t>
  </si>
  <si>
    <t>Etapas del P.G.D. ejecutadas</t>
  </si>
  <si>
    <t>Actividades del PINAR ejecutadas</t>
  </si>
  <si>
    <t xml:space="preserve">Despachar el 100% de la correspondencia externa producidas la entidad, a través de la ventanilla única </t>
  </si>
  <si>
    <t>Ejecutar  todas  las disposiciones  del  nuevo modelo integrado  planeación y gestión en el marco  del Decreto 1499 de 2017</t>
  </si>
  <si>
    <t xml:space="preserve">Asesor Grupo Talento Humano </t>
  </si>
  <si>
    <t xml:space="preserve">SUBDIRECCION FINANCIERA </t>
  </si>
  <si>
    <t>No requiere</t>
  </si>
  <si>
    <t xml:space="preserve">SUBDIRECCION TECNCIA </t>
  </si>
  <si>
    <t>Planear e implementar estrategias de control del tránsito terrestre vehicular, seguridad vial, regulación y atención de requerimientos bajo lineamientos institucionales y legales, para una movilidad ágil y segura en el municipio de Bucaramanga.</t>
  </si>
  <si>
    <t xml:space="preserve">NA: No Aplica, se utiliza para indicar que para el periodo evaluado no aplica </t>
  </si>
  <si>
    <t xml:space="preserve">Reportar mensualmente  el 100% de las PQRDS no atendidas en los terminos del Ley para su respectiva investigación disciplinaria </t>
  </si>
  <si>
    <t>Disponer del inventario de los bienes muebles, bienes de consumo  planta y equipo, de propiedad de la entidad. como información veraz para el sistema  contable de la entidad</t>
  </si>
  <si>
    <t xml:space="preserve">100% de  los conceptos jurídicos  emitidos </t>
  </si>
  <si>
    <t>Atender el 100 % de las solicitudes jurídicas presentadas ante la Oficina Asesora Jurídica dentro de  los términos de Ley</t>
  </si>
  <si>
    <t>Atender  y emitir  el 100 %  de los conceptos  jurídicos  requeridos dentro de  los terminos de Ley</t>
  </si>
  <si>
    <t>Adelantar la revisión del 100 % de los aspectos jurídicos de los actos administrativos presentados ante la Oficina Asesora Jurídica.</t>
  </si>
  <si>
    <t>Acoger el 100% de los procesos contravencionales en los cuales halla solicitud de audiencia y que sean asignados por reparto</t>
  </si>
  <si>
    <t>% de procesos contravensionales  acogidos</t>
  </si>
  <si>
    <t>Proferir decisión de fondo en el 60% de las ordenes de comparendo cuyos conductores no solicitan audiencia pública en los términos de ley.</t>
  </si>
  <si>
    <t>Emitir el 100% de las boletas de salida de los vehículos inmovilizados por infracciones a las normas de tránsito, transporte, accidentes que cumplan los requisitos de Ley</t>
  </si>
  <si>
    <t xml:space="preserve">Atentder los requerimientos y /o comisiones judiciales </t>
  </si>
  <si>
    <t>Ejecutar el 90% de los despachos comisorios allegados que cumplan los requisitos de Ley</t>
  </si>
  <si>
    <t>Remitir mensualmente las boletas de salida de vehículos inmovilizados por IUIT a la autoridad competente</t>
  </si>
  <si>
    <t>100% de boletas de salida de vehículos inmovilizados por IUIT remitidas a la Autoridad competente</t>
  </si>
  <si>
    <t>Formular y Ejecutar al 100% el   Programa Anual de Auditoría de la Dirección de Tránsito de Bucaramanga</t>
  </si>
  <si>
    <t>Formular y ejecutar el Plan Anual de Trabajo  del Sistema de Gestión de Seguridad y Salud en el Trabajo acorde a los linemaientos del Ministerio del Trabajo</t>
  </si>
  <si>
    <t xml:space="preserve">Ejecutal el 100 % de las acciones contempladas en el Plan de Trabajo del Sistema de Gestión de Seguridad y Salud en el Trabajo </t>
  </si>
  <si>
    <t>Formular y Ejecutar el Plan de Trabajo Estratégico del Sistema de Gestión de Talento Humano de la DTB de acuerdo a los lineamientos del MIPG</t>
  </si>
  <si>
    <t>Ejecutal el 100 % de las acciones contempladas en el Plan de trabajo del Plan Estratégico del Sistema de Gestión de Talento Humano de la DTB</t>
  </si>
  <si>
    <t>Formular y ejecutar el Plan de Mantenimiento Institucional para propiciar el buen funcionamiento de la infraestructura física y el equipamiento del edificio, sedes y subsedes de la DTB.</t>
  </si>
  <si>
    <t>Ejecutar las acciones de mantenimiento preventivo del  Plan de Mantenimiento Institucional de la entidad</t>
  </si>
  <si>
    <t>Ejecutar las acciones de mantenimiento correctivo del  Plan de Mantenimiento Institucional de la entidad</t>
  </si>
  <si>
    <t>(No. de Acciones de Mantenimiento correctivas ejecutadas / No. de Acciones de Mantenimientos correctivo requeridas) * 100</t>
  </si>
  <si>
    <t>(No. de Acciones de Mantenimiento preventivo ejecutados / No. de Acciones de Mantenimientos preventivo planeados) * 100</t>
  </si>
  <si>
    <t>Presentar mensualmente el Informe de control financiero y económico de la Entidad ante el Comité Institucional de Gestión y Desempeño de la DTB</t>
  </si>
  <si>
    <t>Mantener el equilibrio presupuestal de la entidad por medio del control y seguimiento financiero y económico</t>
  </si>
  <si>
    <t>Publicar mensualmente los Estados Financieros y la Ejecución Presupuestal (Ingresos y Gastos) de la Entidad en el marco de la Ley de Transparencia.</t>
  </si>
  <si>
    <t>No. de informes publicados</t>
  </si>
  <si>
    <t>Seguimiento Realizados</t>
  </si>
  <si>
    <t>Formular el Plan Anual Mensualizado de Caja (PAC) de la Entidad y presentarlo al Comité Plan Anual de Adquisiciones de la DTB.</t>
  </si>
  <si>
    <t>Realizar seguimiento mensual a la ejecución del Plan Anual Mensualizado de Caja (PAC) de la Entidad.</t>
  </si>
  <si>
    <t xml:space="preserve">Realizar la auditoría interna del Sistema de Gestión Ambiental y de Calidad </t>
  </si>
  <si>
    <t>Mantener implementado y certificado el Sistema de Gestión Ambiental y de Calidad de la DTB</t>
  </si>
  <si>
    <t>Realizar la Revisión por la Dirección del Sistema de Gestión</t>
  </si>
  <si>
    <t>Objetivo específico</t>
  </si>
  <si>
    <t>Asesor Calidad</t>
  </si>
  <si>
    <t xml:space="preserve">Programa formulado y ejecutado al 100% </t>
  </si>
  <si>
    <t xml:space="preserve">Número de actas de Comité Disciplinario </t>
  </si>
  <si>
    <t>SUBDIRECCION TÉCNICA</t>
  </si>
  <si>
    <t xml:space="preserve">Desarrollar las acciones contempladas en la Estrategia de Control vial  </t>
  </si>
  <si>
    <t>No. de acciones de la estrategia desarrolladas / No. de acciones de la estrategia formuladas</t>
  </si>
  <si>
    <t>Realizar seguimiento trimestral al cumplimiento del Plan de Accion  del   Plan Local de Seguridad Vial</t>
  </si>
  <si>
    <t>Mantenimientos preventivos realizados sobre Mantenimientos programados debe ser igual al 100%</t>
  </si>
  <si>
    <t>Asumir la defensa técnica de los procesos  judiciales y acciones constitucionales y derechos de petición en que  se encuentre vinculada la entidad y de conformidad con la normatividad legal vigente</t>
  </si>
  <si>
    <t>Nro. De Contratos con los documentos publicados</t>
  </si>
  <si>
    <t>Realizar acompañamiento a los supervisores y/o interventores de los contratos suscritos durante la vigencia, en la publicación de los documentos contractuales</t>
  </si>
  <si>
    <t>Capacitaciones realizadas / Capacitaciones planeadas</t>
  </si>
  <si>
    <t>Asumir y adelantar la defensa del 100% de los procesos judiciales y acciones constitucionales en que sea parte directa la DTB</t>
  </si>
  <si>
    <t xml:space="preserve">OFICINA ASESORA SISTEMAS DE INFORMACIÓN </t>
  </si>
  <si>
    <t>Realizar dos actualizaciones y su publicación del Plan Anual de Adquisiciones</t>
  </si>
  <si>
    <t>Cumplir con los lineamientos de seguimiento y control al cumplimiento de las Metas del Plan de desarrollo</t>
  </si>
  <si>
    <t>Realizar seguimiento y reporte mensual al Plan de desarrollo</t>
  </si>
  <si>
    <t>Controlar  la  gestión del cumplimiento de metas Institucionales</t>
  </si>
  <si>
    <t xml:space="preserve">Realizar seguimiento trimestral del   Plan de acción Institucional </t>
  </si>
  <si>
    <t>Cumplir lo establecido en la Ley 1474 de 2011</t>
  </si>
  <si>
    <t>Disponer de proyectos viabilizados para la ejecucion del Plan Operativo Anual de Inversión</t>
  </si>
  <si>
    <t>Elaborar y/o actualizar los  proyectos de Inversion cada vez que sea necesario, para dar cumplimiento al POAI</t>
  </si>
  <si>
    <t>Dar cumplimiento a la Resolución No.  2273  de 2014  PNSV 2011 - 2022 y demas normas  concordantes</t>
  </si>
  <si>
    <t>No. auditorías de Seguimiento realizadas por parte de la ONAC  / No. de auditorías de Seguimiento Planeados por parte de la ONAC programadas</t>
  </si>
  <si>
    <t>VIGENCIA 2021</t>
  </si>
  <si>
    <t>Acumulado 2021</t>
  </si>
  <si>
    <t>Realizar la Ejecución del Plan de trabajo anual del SGC y SGA de la vigencia</t>
  </si>
  <si>
    <t>(No. De acciones de los planes de trabajo de SGC y SGA ejecutados / No. De acciones los planes de trabajo de SGC y SGA formuladas en el periodo evaluado)</t>
  </si>
  <si>
    <t>No.  De auditoría interna del (SGC - SGA) realizada</t>
  </si>
  <si>
    <t>No.  De auditoría externa (SGC - SGA) realizada</t>
  </si>
  <si>
    <t xml:space="preserve"> No.  De revisiones por la dirección realizada </t>
  </si>
  <si>
    <t>Realizar la auditoría de Seguimiento por parte de la ONAC para cumplimiento de la Norma Técnica Reglamentaria para el CDA</t>
  </si>
  <si>
    <t xml:space="preserve">Garantizar la Operación del CDA de la DTB de acuerdo al cumplimiento de los requisitos Normativos y Legales establecidos para los Organismos de Inspección  </t>
  </si>
  <si>
    <t>No. de Revisiones Técnico - Mecánicas y de emisiones de Gases Contaminantes realizadas</t>
  </si>
  <si>
    <t>Realizar 11.000 Revisiones Técnico-Mecánicas y de Emisiones Contaminantes</t>
  </si>
  <si>
    <t>Formular y Ejecutar el Plan de verificación y sellado de los taxímetros de los vehículos de transporte de pasajeros tipo taxi del Área metropolitana de Bucaramanga</t>
  </si>
  <si>
    <t>No. de Planes de verificación y sellado de taxímetros formulados y ejecutados r</t>
  </si>
  <si>
    <t>Cumplir al 100% con el Plan Anual de Informes de Control Interno</t>
  </si>
  <si>
    <t>100% de la Ejecución del Programa Anual de Auditoría</t>
  </si>
  <si>
    <t>100% de la Ejecución del Plan de Informes de Control Interno</t>
  </si>
  <si>
    <t xml:space="preserve">Implementar el Sistema de Seguridad y Salud en el Trabajo  para la protección de los servidores públicos de la DTB  y el cumplimiento normativo vigente en la  materia  </t>
  </si>
  <si>
    <t>Cumplir el 40% del Programa de Gestión Documental, teniendo en cuenta las actividades registradas en el Plan de Trabajo del Proceso de Gestión Documental de la Entidad, en cumplimiento a los lineamientos archivisticos vigentes y al MIGP</t>
  </si>
  <si>
    <t>Ejecutar el 40% de las activiades del PINAR, acorde al cronograma establecido por el Comité de Archivo de la Entidad y al plan de  acción del MIGP</t>
  </si>
  <si>
    <t>100% de correspondencia externa despachada</t>
  </si>
  <si>
    <t>Desarrollar alternativas de movilidad limpia que permitan fomentar y fortalecer la cultura de uso de los modos de  transporte no motorizado, resaltando su importancia en el desarrollo urbano de la ciudad de Bucaramanga.</t>
  </si>
  <si>
    <t xml:space="preserve">Ejecutar acciones de intervención integral en los 10 puntos críticos de accidentalidad </t>
  </si>
  <si>
    <t>No. de puntos críticos de accidentalidad intervenidos</t>
  </si>
  <si>
    <t>Desarrollarde los programas de Educación en Seguriad vial y movilidad sostenible para reducir los índices mortalidad y accidentalidad asociados a comportamiento humano en la ciudad de Bucaramanga</t>
  </si>
  <si>
    <t>Desarrollar los tres programas de Educación en Seguridad Vial y movilidad sostenible</t>
  </si>
  <si>
    <t>(No. De  programas Desarrollados / No. de Programas de Educación en Seguridad Vial y movilidad sostenible Planeados) *100%</t>
  </si>
  <si>
    <t>Desarrollar las acciones del Programa de Educación, promoción y valoración del uso de Medios de Transporte Sostenible y del uso de la Bicicleta</t>
  </si>
  <si>
    <t>(No. de acciones realizadas del Programa de Educación, promoción y valoración del uso de Medios de Transporte Sostenible y del uso de la Bicicleta / No. de acciones planeadas en el del Programa de Educación, promoción y valoración del uso de Medios de Transporte Sostenible y del uso de la Bicicleta) * 100%</t>
  </si>
  <si>
    <t>Mantener, actualizar y georeferenciar los Sistemas de Señalización vial y semaforización con el fin de mejorar los niveles de movilidad, prevención, seguridad, fluidez, orden y comodidad en los desplazamientos peatonales y vehiculares.</t>
  </si>
  <si>
    <t>Actualizar el sistema georeferenciado de información de los Sistemas de Señalización vial y semaforización del Municipio de Bucaramanga.</t>
  </si>
  <si>
    <t>Sistema georeferenciado de información de los Sistemas de Señalización vial y semaforización actualizado</t>
  </si>
  <si>
    <t>Número de m2 de señalización horizontal nueva demarcada.</t>
  </si>
  <si>
    <t>Número de señales de tránsito verticales o elevadas nuevas instaladas.</t>
  </si>
  <si>
    <t>Número de Planes Zonales de Zonas de Estacionamiento Transitorio Regulado – ZERT actualizados.</t>
  </si>
  <si>
    <t>Mantener el 100% de la señalización vial horizontal, vertical y elevada del inventario.</t>
  </si>
  <si>
    <t>Porcentaje de señalización vial horizontal, vertical y elevada del inventario mantenida.</t>
  </si>
  <si>
    <t>Ejecutar el cronograma de visitas técnicas del Plan Integral de  Señalización vial para la vigencia 2021</t>
  </si>
  <si>
    <t>Cronograma de visitas técnicas del Plan  Integral de  Señalización vial ejecutado</t>
  </si>
  <si>
    <t>Demarcar 1.500 m2 de señalización horizontal nueva.</t>
  </si>
  <si>
    <t>Instalar 100 señales de tránsito verticales o elevadas nuevas.</t>
  </si>
  <si>
    <t>Mantener en funcionamiento al 100% las  intersecciones semaforizadas en el municipio.</t>
  </si>
  <si>
    <t>(Número de intersecciones semaforizadas en en funcionamiento / Número de intersecciones semaforizadas existentes) *100%</t>
  </si>
  <si>
    <t>Actualizar 1 Plan Zonal de Zonas de Estacionamiento Transitorio Regulado – ZERT.</t>
  </si>
  <si>
    <t xml:space="preserve">Intervenir 216 intersecciones peatonales - vehicular, vehiculares con la implementacion de señalización urbana en las comunas 1 y 2 durante la vigencia 2021 </t>
  </si>
  <si>
    <t>(No. de intersecciones peatonales - vehicular, vehiculares con la implementacion de señalización urbana en la comunas 1 y 2 realizadas  /  intersecciones peatonales - vehicular, vehiculares planeadas) 100%</t>
  </si>
  <si>
    <t xml:space="preserve">Presentación oportuna de la información financiera de la Dirección de Tránsito de Bucaramanga ante los diferentes entes de Control. </t>
  </si>
  <si>
    <t>Presentar en los términos de Ley, a los directivos y entes de Control (Contaduría General de la Nación, Contraloría Municipal de Bucaramanga, DIAN y demás entes de control) de manera oportuna y confiable la información financiera de la Dirección de Tránsito de Bucaramanga</t>
  </si>
  <si>
    <t>Presentar los Informes de Ley a los Entes de Control de acuerdo a las fechas y términos establecidos.</t>
  </si>
  <si>
    <t>Presentación del Informe financiero y económico ante el Comité Institucional de Gestión y Desempeño de la DTB</t>
  </si>
  <si>
    <t xml:space="preserve">Subdirectora Financiera, Tesorera General, Profesional Especializado Contabilidad, Profesional Especializado Ejecuciones Fiscales </t>
  </si>
  <si>
    <t>Subdirectora Financiera</t>
  </si>
  <si>
    <t>Dar cumplimiento a la Ley de Transparencia mediante la publicación de los Estados Financieros y la Ejecución Presupuestal de la Dirección de Tránsito de Bucaramanga en la página web de la Entidad</t>
  </si>
  <si>
    <t>Anual Mensualizado de Caja (PAC) de la Entidad formulado y presentado</t>
  </si>
  <si>
    <t>Incrementar anualmente en un 15% la recuperación de cartera de la Entidad</t>
  </si>
  <si>
    <t>Aumentar semestralmente en un 7,5% la recuperación de la cartera de la vigencia 2021 frente al mismo periodo de la vigencia 2020</t>
  </si>
  <si>
    <t>Cartera recuperada</t>
  </si>
  <si>
    <t>Implementar la estrategía Gobierno Digital G.D. en cumplimiento al decreto 2573 de 2014</t>
  </si>
  <si>
    <t>Ejecutar el programa anual de la estrategia G.D</t>
  </si>
  <si>
    <t xml:space="preserve">Actividades del programa anual G.D. Ejecutadas sobre Actividades del programa anual G.D. Programadas debe ser mayor o igual al 90% </t>
  </si>
  <si>
    <t>Formular y ejecutar el programa de mantenimiento preventivo de la plataforma tecnológica (Hardware y Software) de la DTB</t>
  </si>
  <si>
    <t>Formular y ejecutar el programa de mantenimiento correctivo de la plataforma tecnológica (Hardware y Software) de la DTB</t>
  </si>
  <si>
    <t>30% Anual</t>
  </si>
  <si>
    <t>Garantizar el correcto funcionamiento de los Sistemas de Información de la Entidad, brindando soporte oportuno a las dependencias que lo solicitan</t>
  </si>
  <si>
    <t>Resolver oportunamente los incidentes reportados del funcionamiento de los Sistemas de Información de la Entidad</t>
  </si>
  <si>
    <t>Cantidad de Incidentes resueltos sobre cantidad de incidentes reportados debe ser igual al 100%</t>
  </si>
  <si>
    <t>1412   /   1412</t>
  </si>
  <si>
    <t>Se recibieron y atendieron normalmente todas las incidencias reportadas. Con la reactivación de todos los servicios en la entidad se ve reflejado el aumento de casos reportados y adicionalmente por la aplicación de los descuentos de ley concedidos se ha solicitado más soporte por parte de las diferentes dependencias.</t>
  </si>
  <si>
    <t>4466  /  4466</t>
  </si>
  <si>
    <t>Se recibieron y atendieron normalmente todas las incidencias reportadas. Con el análisis realizado a los registros de incidentes realizados en el transucrso del año, se evidenciaron procesos de ajustes masivos que se implementaron, lo cual justifica el aumento de casos presentados. Estos ajustes van encaminados a minimizar la ocurrencia de incidentes al momento de la atención de los usuarios.</t>
  </si>
  <si>
    <t>Aumentar la matrícula inicial de los vehículos en la DTB</t>
  </si>
  <si>
    <t>Aumentar en un 5% las matrículas iniciales solicitadas durante la vigencia actual respecto de las realizadas en la vigencia anterior</t>
  </si>
  <si>
    <t>Número de Matrículas registradas en la vigencia actual sobre el Número de Matrículas  registradas en la vigencia anterior debe aumentar mínimo en un 5%</t>
  </si>
  <si>
    <t>Atender oportunamente las solicitudes de PQRD allegadas en los términos de ley a la oficina de Registro Automotor</t>
  </si>
  <si>
    <t>Trámites Realizados sobre Trámites Requeridos debe ser mayor o igual al 95%</t>
  </si>
  <si>
    <t>Aumentar la Radicación de Cuenta de los vehículos en la DTB</t>
  </si>
  <si>
    <t>Aumentar en un 5% las Radicación de Cuenta solicitadas durante la vigencia actual respecto de las realizadas en la vigencia anterior</t>
  </si>
  <si>
    <t>Número de Radicación de Cuenta radicadas  en la vigencia actual sobre el Número de Radicaciones de Cuenta en la vigencia anterior debe aumentar mínimo en un 5%</t>
  </si>
  <si>
    <t>Atender oportunamente las necesidades de los ciudadanos en materia de trámites con registro en el RUNT</t>
  </si>
  <si>
    <t xml:space="preserve">Realizar los diferentes trámites que se presentan diariamente ante la Oficina de Registro Automotor </t>
  </si>
  <si>
    <t>Atender oportunamente las necesidades de los ciudadanos en materia medidas cautelares con registro en el RUNT</t>
  </si>
  <si>
    <t>Realizar las Medidas Cautelares que se presentan diariamente ante la Oficina de Registro Automotor</t>
  </si>
  <si>
    <t>Medidas cautelares realizadas sobre Medidas cautelares solicitdas debe ser mayor o igual al 95%</t>
  </si>
  <si>
    <t>Desarrollar las acciones de comunicación inmersas en la Estrategia de marketing y  comunicación de la Dirección de Tránsito de Bucaramanga para garantizar la difusión oportuna y transparente de los servicos, trámites, planes, programas, proyectos o actividades que desarrolla la Entidad.</t>
  </si>
  <si>
    <t>(No. De acciones de la estrategia de comunicación ejecutadas / No. De acciones de la estrategia de comunicación formuladas) *100%</t>
  </si>
  <si>
    <t>Formular, implementar y desarrollar la estrategia de marketing y comunicación de la Dirección de Tránsito</t>
  </si>
  <si>
    <t>Aumentar en un  5% el total de las Licencias de Conducción expedidas durante la vigencia actual respecto de las expedidas en la vigencia anterior</t>
  </si>
  <si>
    <t>Numero de Licencias expedidas en la vigencia actual sobre el Número de Licencias expedidas en la vigencia anterior debe aumentar mínimo en un 5%</t>
  </si>
  <si>
    <t xml:space="preserve">Dar trámite e impulso procesal a 200 procesos disciplinarios  de vigencias anteriores a 2020 de acuerdo a los términos establecidos al interior del Procedimiento de Control Interno Disciplinario </t>
  </si>
  <si>
    <t>Procesos  disciplinarias  anteriores a la vigencia 2020</t>
  </si>
  <si>
    <t>Trámite e impulso de 200 procesos  disciplinarios de vigencias anteriores al 2020</t>
  </si>
  <si>
    <t>Dar trámite e impulso procesal a las quejas  e informes recepcionados durante la vig. 2021 de acuerdo a los terminos establecidos al interior del Procedimiento de Control Interno Disciplinario de dicha vigencia</t>
  </si>
  <si>
    <t xml:space="preserve">Adelantar las actuaciones disciplinarias pertinentes para cada caso en concreto, de acuerdo a los lineamientos establecidos en la Ley 734 de 2002, 1952 de 2019, estatutos, manuales y procedimientos definidos por la entidad  y con observancia del marco normativo que rige la materia.                                                                                                                                                                                                                                                                                                                                                                                                                                                                                                                                </t>
  </si>
  <si>
    <t>Quejas disiplinarias vig. 2021 tramitadas e impulsadas</t>
  </si>
  <si>
    <t xml:space="preserve">Trámite e impulso del 100% de las quejas disciplinarias vig. 2020     </t>
  </si>
  <si>
    <t xml:space="preserve">Formular el Plan de Mantenimiento Institucional de la entidad </t>
  </si>
  <si>
    <t>Plan de Mantenimiento formulado0</t>
  </si>
  <si>
    <t>Realizar el trámite de expedición de Licencias de Conducción oportunamente para mantener la cobertura del mercado en el area metropolitana en cumplimiento a las funciones institucionales de la DTB</t>
  </si>
  <si>
    <t>Dar trámite a los Derechos de petición impetrados ante la Oficina Asesora Jurídica Grado 02</t>
  </si>
  <si>
    <t>Disponer con PAA actualizado que sirva de herramienta para la  ejecucion de  la gestión Institucional, atendiendo  los linemaientos normativos  establecidos</t>
  </si>
  <si>
    <t>Realizar una capacitación en formulación de planes, programas y proyectos con los líderes de dependencia, coordinadores de grupos de trabajo, y/o responsables de gestión de los mismos en la DTB.</t>
  </si>
  <si>
    <t>Capacitar en formulación de planes, programas y proyectos con los líderes de dependencia, coordinadores de grupos de trabajo, y/o responsables de gestión de los mismos en la DTB.</t>
  </si>
  <si>
    <t>Capacitación en formulación de planes, programas y proyectos realizada</t>
  </si>
  <si>
    <t>Código: 
FT-DIR-001</t>
  </si>
  <si>
    <t>Asumir el conocimiento de los recursos interpuestos dentro de lo procesos contravencionales de acuerdo con la competencia investida en el cargo de asesor jurídico Grado 02  que han sido decididos por las inspecciones de tránsito de la DTB</t>
  </si>
  <si>
    <t xml:space="preserve">Organizar el expediente del 100% de los procesos contravencionales por las ordenes de comparendo asignados por reparto a  traves de  listados y libros radicadores </t>
  </si>
  <si>
    <t>Coordinadora Registro Conductores</t>
  </si>
  <si>
    <t>Secretario General, Profesional Especializado</t>
  </si>
  <si>
    <t>Secretario General</t>
  </si>
  <si>
    <t>Secretario General, Profesional Universitario Grupo Atención al Cliente</t>
  </si>
  <si>
    <t xml:space="preserve">Secretario General, Auxiliar Administrativo Grado 14 del Grupo de Almacen e Inventario. </t>
  </si>
  <si>
    <t>Secretario General, Porfesional Univesitario  de mantenimiento, Porfesional Universitario de Gestión Doumentacion  Comité de Archivo</t>
  </si>
  <si>
    <t>Secretario General, Porfesional Univesitario Salud Ocupacional</t>
  </si>
  <si>
    <t xml:space="preserve">Subdirectora Financiera
Tesorera General </t>
  </si>
  <si>
    <t xml:space="preserve">Subdirectora Financiera Coordinador Ejecuciones Fiscales
Profesional Especializado Ejecuciones Fiscales , </t>
  </si>
  <si>
    <t xml:space="preserve">Subdirector Técnico </t>
  </si>
  <si>
    <t>Subdirector Técnico 
Coordinación  Grupo Cultura Vial.</t>
  </si>
  <si>
    <t>Subdirector Técnico 
Coordinación  Grupo control Vial.</t>
  </si>
  <si>
    <t>Subdirector Técnico 
Coordinador Grupo Planeamiento Vial.</t>
  </si>
  <si>
    <t xml:space="preserve">Subdirector Técnico 
Coordinador Grupo Planeamiento Vial. - Señalización </t>
  </si>
  <si>
    <t xml:space="preserve">Subdirector Técnico 
Coordinador Grupo Planeamiento Vial- Señalización </t>
  </si>
  <si>
    <t xml:space="preserve">Subdirector Técnico  
Coordinador Grupo Planeamiento Vial- Señalización </t>
  </si>
  <si>
    <t>Asesora  Prensa y comunicaciones</t>
  </si>
  <si>
    <t xml:space="preserve"> Asesora grado 02 Contratación</t>
  </si>
  <si>
    <t xml:space="preserve">  Asesor Jurídico Grado 02</t>
  </si>
  <si>
    <t>Asesor Jurídico Grado 02 e Inspección correspondiente</t>
  </si>
  <si>
    <t>No aplica para el I trimestre del 2021</t>
  </si>
  <si>
    <t>40/72</t>
  </si>
  <si>
    <t>Informe de Onac con la auditoria realizada, no hubo hallazgos y fue confirmado el plan de accion realizado de acuerdo al Plan de correcciones y accion correctivas aprobado en Noviembre de 2020, se mantiene la acreditación sin ninguna novedad.</t>
  </si>
  <si>
    <t>Actividades planeadas/Actividades realizadas</t>
  </si>
  <si>
    <t>Se realizan de acuerdo a la paneacion del programa general de mantenimiento y aseguramiento metrologico establecido para el CDA, los registros asociados reposan en el software de aplicación y control.</t>
  </si>
  <si>
    <t>Numero de sellos instalados/numero de sellos programados</t>
  </si>
  <si>
    <t>Se espera la salida o actualizacion de la resolucion que aplique alos requsitos establecidos en la resolucion 88918 de 2017, y la programamcion de las empresas.</t>
  </si>
  <si>
    <t>13/14</t>
  </si>
  <si>
    <t>La oficina de Control Interno y gestion para el primer trimiestre de 2021, tenia programado los siguientes informes los cuales se cumplieron en su oportuno reporte y fueron informados a la alta Direccion y los de ley a los respectivo entes de control. Las evidencias de estos informes se encuentan en los correos electronicos enviados a la alta Direccion con los respectivos adjuntos de cada informe y tambien se encuentran de manera fisica y digital en la Oficina de Control Interno y Gestion.
1, Informe Ejecutivo Anual Evaluación del Sistema de Control Interno .
2, Informe de evaluación  Institucional por Dependencias.
3, Informe Control Interno Contable.
4, Informe Derechos de Autor Software.
5, Informe Austeridad en el Gasto.
6, Informe Plan anticorrupcion y de atencion al ciudadano- mapa de  Riesgos de Corrupción.
7, Informe del Sistema de Control Interno.
8, Informe sobre las Peticiones, quejas, sugerencias y reclamos.
9, Seguimiento a la Rendición de Cuenta  Electrónica-SIA MISIONAL 
10, Seguimiento plan de mejoramiento suscritos ante el ente de Control. (En este comite no quedaron compormisos por lo tanto no se debio hacer seguimiento)
11, Seguimiento a los compromisos  adquiridos  en el Comité Institucional de Coordinación de Control Interno
12, Inventario de archivos de gestion y transferencia documental de la oficina  de Control Interno
13, Informe del plan de accion de la Oficina de Control Interno
14, Informe Indicadores de la Oficna  de Control Interno y Gestion</t>
  </si>
  <si>
    <t>4/4</t>
  </si>
  <si>
    <t xml:space="preserve">Teniendo en cuenta el programa anual de auditoria vigencia 2021, se programaron para el primer trimestre 4 auditorias las cuales se relacionana ac ontinuacion:
1, Auditoría del proceso Gestión Financiera, la cual se aperturo el día 15 de febrero de 2021 con su respectivo plan de auditoria y solicitud de información. Se realizo entrega de preinforme el día 26 de marzo de 2021 el cual se constituye de 16 observaciones y se encuentra pendiente la respuesta de área auditada.
2, Auditoria del proceso de Gestion TICS, se dio apertura a la auditoria el dia 30 de marzo de 2021 y actualmente nos encontramos en el desroolo de la ejecucion de la auditoria 
3, Auditoría Especial  1: Entrega de Vehiculos e inventario de Patios, se realizo entrega a la alta Direccion el dia 8 de marzo de 2021 del informe de seguimineto a los vehiculoes inmovilizados en los patios de la DTB con corte de junio a dicembre de 2020.
4, Auditoría  Especial  Seguimiento Parque Automotor DTB 
 ( mantenimieto y combustible) se realizo entrega a la alta Direccion el dia 22 de febrero de 2021 del informe de seguimineto al el mantenimiento, suministro de combustible y cumplimiento de normas aplicables para el óptimo funcionamiento del parque automotor  de la entidad.  
Las evidencias de estos informes se encuentan en los correos electronicos enviados a la alta Direccion con los respectivos adjuntos de cada informe y tambien se encuentran de manera fisica y digital en la Oficina de Control Interno y Gestion.  
</t>
  </si>
  <si>
    <t>3/3</t>
  </si>
  <si>
    <t>Del primer Trimestre se realizaron tres reuniones  de comité de reparto, quedando como evidencia tres actas, las cuales reposan en la Oficina de Control Interno disciplinario, bajo los radicados No. 01, 02 y 03.</t>
  </si>
  <si>
    <t>10/10</t>
  </si>
  <si>
    <t>De de las 10 quejas que se han recibido en la vigencia 2021 se dio apertura e inidagacion preliminar a 10</t>
  </si>
  <si>
    <t>104/50</t>
  </si>
  <si>
    <t>La oficina cuenta con profesionales de apoyo y la Profesional Especializada ( e ) que evacuaron 104 procesos y/o quejas en el primer trimestre de 2021correspondientrs a vigencias 2019 y 2020</t>
  </si>
  <si>
    <t>Se formuló el plan de mantenimiento institucional.</t>
  </si>
  <si>
    <t>15/15</t>
  </si>
  <si>
    <t>Se elaboraron los estudios y documentos previos para la contratación de 3 personas de servicios generales, un electricista y un ingeniero de mantenimiento.Se ha invertido $ 44.250.000 en el trimestre. 15 equipos de aire acondicionado intervenidos ,67 solicitudes de mantenimiento correctivo y preventivo,mantenimiento de zonas verdes y servicio de aseo diario de la entidad</t>
  </si>
  <si>
    <t>67/67</t>
  </si>
  <si>
    <t>Se realizaron los informes mensuales sobre las actividades realizadas desde el Grupo de Trabajo de Atención al Usuario, teniendo los siguientes informes:
*INFORME DE_ATENCION_CLIENTE_ENERO_2021
*INFORME DE_ATENCION_CLIENTE_FEBRERO_2021
*INFORME DE_ATENCION_CLIENTE_MARZO_2021</t>
  </si>
  <si>
    <t>2710/3041</t>
  </si>
  <si>
    <t xml:space="preserve">En el primer trimestre de 2021, el indicador de satisfacción al cliente obtuvo en los meses de enero, febrero y marzo un total de 93%. 83% y 92% respectivamente, para un en promedio un 89% de satisfacción de los usuarios. para un total de 3041 respuestas, de las cuales la calificación ponderada entre excelentes y buenas fueron 2710 y un total de 331 la calificación fue de regular y mala. </t>
  </si>
  <si>
    <t>0/0</t>
  </si>
  <si>
    <t>Durante los meses de enero, febrero y marzo no se presentaron PQRS vencidas o no atendidas en terminos de ley, teniendo presente el decreto el artículo 5 del Decreto 491 de 2020 sobre la ampliación de tiempos de respuesta, por lo cual no se han realizado reportes a la Oficina de Control Interno Disciplinario desde el grupo de Atención al Usuario a este respecto.</t>
  </si>
  <si>
    <t>NA</t>
  </si>
  <si>
    <t>1. Actualización y aprobación del PGD vigencia 2021 mediante Acta de Comité de Gestión y Desempeño No. 2 del 11 y 12 de Febrero de 2021
2. Actualización y aprobación de la modificación de la serie y subserie 162.01-18.6-137 Procesos contravencionales por infracción a las normas de tránsito de las TRD del Grupo de Inspecciones mediante Acta de Comité de Gestión y Desempeño No. 3 de Marzo 3 de 2021
3. Capacitación Oficinas Sistemas, Asesoria Juridica, Almacen, Dirección, Control Interno y Gestion, Control Disciplinario, Contratacion, control Vial como consta en formato FT-GADM-032
4. Publicación de los instrumentos archivisticos PGD, PINAR y SIC actualizados en la página web de la entidad link:https://www.transitobucaramanga.gov.co/files/2021/gestion-documental/
5. Presentanción del cronograma de Elinimación y Transferencias documentales vigencia 2021 según Circular 01-2021 del 04 de Enero de 2021
6. Aprobación de las series y subseries a eliminar 1er. semestre del 2021 según Acta de Comite de Gestión y Desempeño No. 03 de Marzo 3 de 2021
7. Recepción de Transferencias documentales de 7 Oficinas: Dirección, Talento Humano, Asesor Juridico Grado 2, Ejecuciones Fiscales, Documentación y archivo,Inspecciones 1 y 7 según formato FT-GADM-022
8. Ubicación de 175 unidades de Conservación resultado de las transferencias documentales
9. Identificación Física de las unidades de conservación a eliminar según listado de series y subseries aprobado
10. Actualización y custodia permanente del Archivo Central
11.  Realización de 4 jornadas de limpieza general del Archivo Central según Planilla de Seguimiento de Limpieza y Desifección
12. Participación en dos (2) Comités de Gestión y Desempeño como consta en las Actas No. 2 y 3 vigencia 2021.
13. Realización del Contrato No. 034-2021 de fecha 20 de Enero de 2021 con Postales Nacionales S.A 472 para el servicio de correspondencia de la entidad</t>
  </si>
  <si>
    <t>1. Ejecución de Procesos de Organización Documental: como son la Actualización de las TRD, Aprobación de las series y subseries a eliminar 1er. Trimestre como consta en el Acta No. 3 de Marzo 3 de 2021 del Comité de Gestión y Desempeño. Transferencias documentales de 6 dependencias de la entidad. Ubicación de 162 unidades de conservación transferidas al archivo central. Actualización del Inventario del Archivo Central. Procesos de Limpieza general del archivo Central como consta en la planilla de seguimiento de limpieza y desifeccion.
2. Capacitación en materia archivistica a 8 oficinas de la entidad como consta en el formato  FT-GADM-032</t>
  </si>
  <si>
    <t>1. Despacho de correspondencia emitida por la entidad en tres modalidaes post express con 634 envios, correo certificado 489, masivo dirigido con 10.459 según ordenes de servicio emitidas por la plataforma SIPOS de Postales Nacionales S.A.S. 472 y directamente necesidad urgente por el servicio de motorizado 350 oficios para un total general  de 11.932 
2. Capacitación en Ventanilla ünica plataforma PQR de la página de la Dirección de Transito de Bucaramanga para su proceso de implementación según reunión de jueves 4 de marzo de 2021</t>
  </si>
  <si>
    <t>De las 34 actividades programadas en el PEGTH, se cumplieron 31 dando un cumplimiento de la meta para el período evaluado del 91%
El Plan se encuentra publicado en la página Web de la Entidad .  Los soportes se  encuentran en   los  archivos electrónicos y físico de la Oficina Gestora.</t>
  </si>
  <si>
    <t>57/65</t>
  </si>
  <si>
    <t>La meta de del primer trimestre se estableció en un 20% el cual se dio cumplimiento a un 17%. Las evidencias se reflejan en los informes de gestión mensual y trimestral y en el seguimiento al plan de trabajo anual del SG-SST</t>
  </si>
  <si>
    <t>25%</t>
  </si>
  <si>
    <t>Se proyectaron (3) derechos de petición según oficios No.04-05-06 firmados por la dirección General correspondientes a dotaciones. Se proyecto respuesta a solicitud PQR Rad 20209284623 según oficio No.02 de Dirección General. Se instauraron 16 denuncias penales.</t>
  </si>
  <si>
    <t>Atendidos cuatro ( 4) requerimientos proyectando sus respuestas con los conceptos  C:01 , C:02, C:03, C:04,</t>
  </si>
  <si>
    <t xml:space="preserve">se realizo el acompañamiento y asesoria juridica a las diferentes  dependencias de la entidad, realizando la revision y/o proyección  de ciento quince (115  ) resoluciones. </t>
  </si>
  <si>
    <t xml:space="preserve"> 1. El proceso contractual  se encuentra alineado al plan estratégico de la entidad, con el fin de ser la base de partida y de análisis para los cargos actuales para el logro del plan estratégico corporativo que permite identificar el liderazgo, trabajo en equipo, logro de resultados y servicio al cliente.
2. Los requerimientos presentados por los usaurios y/o grupos de valor  y los grupos de interes , fueron resultos de forma oportuna.</t>
  </si>
  <si>
    <t>1. Se recepciono, tramito y dio respuesta a 11 peticiones presentadas por los grupos de valor y grupos de interes. Todos estos dentro del cumplimiento de los teminos de Ley 1755 de 2015
2. Se recepciono , tramito y dio respuesta a 15 solicitudes internas , mediante memorandos; los cuales fueron se gestionaron dentro de los terminos de ley.
3. Se expidieron 61 certificaciones  requeridas por personal contratista de la entidad.
4. Se recepciono, tramito y dio respuesta a 12 PQRS, a las cuales se les dio cumplimiento dentro de los terminos de Ley.
5. Los expwedientes contractuales se encuentran ordenados y organizados de acuerdo a las tecnicas legales archivisticas.</t>
  </si>
  <si>
    <t>El proceso precontracutal y contractual  cumple a cabalidad con ley de Trasparencia y Acceso a la información, através de la publicacion realizada de forma  oportuna en la plataforma del SECOP y SIA OBSERVA</t>
  </si>
  <si>
    <t>1. Se publicaron en SECOP  y SIA OBSERVA 144  procesos contractruales ,  los cuales fueron registrados acorde a cada una de las etapas , según su modalidad.
2. Se realizaron 114 nombramiento de supervisores
3. Aprobacion de 25 polizas
4. Se dio suespesion de un contrato po un periodo de 15 días, el cual una veztermiando dicho periodo este fue reanudada.</t>
  </si>
  <si>
    <t>En el primer trimestre de los corrientes  se asignaron a los abogados Adscritos a la Oficina Asesora Jurídica y se les dio trámite al 100% de los procesos judiciales, extrajudiciales y Acciones Constitucionales notificadas a la misma dentro de los términos otorogados por la Ley.</t>
  </si>
  <si>
    <t xml:space="preserve">En el primer trimestre de los corrientes se dio trámite oportuno a los Derechos de Petición presentados ante la Oficina Asesora Jurídica, dentro del término de ley, de conformidad con la Ley 1755  de 2015. </t>
  </si>
  <si>
    <t>NO APLICA PARA ESTE SEGUIMIENTO.</t>
  </si>
  <si>
    <t>En el primer trimestre de los corrientes se realizaron los correspondientes  oficios remisorios de Informes Unicos de Infracciones al Transporte (IUIT) dirigidos a las autoridades competentes entre ellas el Area Metropolitana de Bucaramanga, Superintendencia de Puertos y Transporte, Secretaría de Tránsporte de Piedecuesta (Alcaldía), DIrección de Tránsito y Transporte de Floridablanca, entre otros.</t>
  </si>
  <si>
    <t xml:space="preserve">En el primer trimestre de los corrientes se dio trámite y se asumió el conocimiento del  100% de los recursos interpuestos dentro de los procesos contravencionales allegados por competencia al Despacho de la Oficina Asesora Jurídica </t>
  </si>
  <si>
    <t>Sistema misional MOVILIZA, libros radicadores, libros de correspondencia, correo institucional, plataforma MEET, pagina web de la DTB</t>
  </si>
  <si>
    <t>Sistema misional MOVILIZA, libros radicadores, libros de correspondencia, correo institucional, plataforma MEET, Pagina web de la DTB, libro radicador ejecuciones fiscales</t>
  </si>
  <si>
    <t>Libros radicadores, sistema MOVLIZA, expedientes físicos</t>
  </si>
  <si>
    <t>Sistema misional MOVILIZA,  correo institucional, expedientes físicos</t>
  </si>
  <si>
    <t>Correo institucional, plataforma MEET, avisos fijados en el despacho y en la pagina web, libros radicadores, libro de correspondencia</t>
  </si>
  <si>
    <t>Durante el primer trimestre se realizó de manera eficiente las visitas a las comunas según lo establecido en el PLAN INTEGRAL DE SEÑALIZACION VIAL DEL MUNICIPIO DE
BUCARAMANGA.</t>
  </si>
  <si>
    <t>58/25</t>
  </si>
  <si>
    <t>En los meses de Enero a Marzo se trabajó arduamente con el equipo de señalización con el objetivo de brindar seguridad en las vías de la ciudad, proteger la vida y la integridad de los usuarios que transitan por dichas vías, resultados que se observan en el informe de gestión y en el porcentaje aquí consignado del 231%.</t>
  </si>
  <si>
    <t>391/375</t>
  </si>
  <si>
    <t>Es de resaltar que la señalización vial es una respuesta a la necesidad de organizar las vías de la ciudad, las cuales permiten que la convivencia en la vía pública sea óptima y segura. En el informe de gestión se evidencia las actividades desarrolladas, superando este indicador de manera satisfactoria durante el primer trismestre del año 2021.</t>
  </si>
  <si>
    <t>1./25</t>
  </si>
  <si>
    <t>Debido a que el proceso de compra de señales verticales para el año 2021 tuvo inicio a finales del mes de marzo por la oficina de señlización y de contratación, se espera que en el proximo reporte de plan de acción del trimestre contemos con las señales requeridad para cumplir con la meta mínima establecida de 25 instalaciones.</t>
  </si>
  <si>
    <t>Duante el primer trimestre del año 2021 no se interviene en este indicador, proyectandose a dar cumplimiento en los siguientes trimestres restantes.</t>
  </si>
  <si>
    <t>101/54</t>
  </si>
  <si>
    <t>Se cumple satisfactoriamente la meta establecida en el indicador, realizando el mantenimiento y/o demarcación de las intersecciones peatonales-vehiculares en las comunas 1 y 2 del municipio de Bucaramanga.</t>
  </si>
  <si>
    <t>4 / 10</t>
  </si>
  <si>
    <t>Se implementó el pago de Derechos de Porte de Placa, Comparendos y Cuotas de Acuerdos de Pago por medio de PSE sincronizando directamente con nuestro Sistema de Información Misional Moviliza</t>
  </si>
  <si>
    <t>28 / 28</t>
  </si>
  <si>
    <t>Se realizaron normalmente todos los mantenimientos preventivos programados hasta el 31 de Marzo 2021.</t>
  </si>
  <si>
    <t>8 / 28</t>
  </si>
  <si>
    <t>Dado el inicio de la vigencia se vio un poco elevado el indicador pero siempre teniendo en cuenta no sobre pasar la meta.</t>
  </si>
  <si>
    <t>133.026 / 133.026</t>
  </si>
  <si>
    <t>Se recibieron y atendieron todas las incidencias reportadas. Con el análisis realizado a los registros de incidentes realizados en el trancurso del año, se evidenciaron procesos de ajustes masivos que se implementaron, lo cual justifica el aumento de casos presentados. Estos ajustes van encaminados a minimizar la ocurrencia de incidentes al momento de la atención de los usuarios.</t>
  </si>
  <si>
    <t>No reportado por Asesor grado 01 de registro Automotor</t>
  </si>
  <si>
    <t>( 665 / 715) * 100</t>
  </si>
  <si>
    <t>(2944 / 2264) * 100</t>
  </si>
  <si>
    <t xml:space="preserve">Durante el primer trimestre fueron solicitadas 2944 Licencias de Conducción y fueron realizadas 2264 Licencias de Conducción, es decir, se realizaron el 100% de las solicitudes de Licencias de Conducción ante la DTB, incrementado más del 5% con respescto a la vigencia anterior.         </t>
  </si>
  <si>
    <t>25/100</t>
  </si>
  <si>
    <t xml:space="preserve">Se formuló e implementó la estrategia de comunicaciones; se desarrollaron las acciones correspondientes a la publicación diaria de contenidos en las redes sociales facebook, Twitter e Instagram, la elaboración y publicación de boletines de prensa; la producción y difusión de piezas gráficas y audiovisuales.  Las evidencias y  estadísticas de las acciones adelantadas se encuentran en el informe  adjunto al presente Plan de Acción </t>
  </si>
  <si>
    <t xml:space="preserve"> 1 Aud Presentada / 1 Aud Programada</t>
  </si>
  <si>
    <t>En el primer trimestre del 2021 se ejecutaron 40 actividades de las 72 programadas para el Sistema Integrado de Gestión, teniendo un 56% de cumplimiento para el trimestre y un 17% de avance del plan anual de trabajo para la vigencia.
El seguimiento detallado de las actividades realizadas y pendientes se encuentra en: *Plan de trabajo SIG 2021.xlsx
Adicional se adjunta el: *Informe de Gestión SIG 01-2021.docx</t>
  </si>
  <si>
    <t>Estadisitcas Runt, se han realizado 1255 revisiones en primer trimestre del año a consecuencia de la pandemia y el aislamiento obligatorio del año 2020 que cambio las fechas de vencimientos y genero una crisis econmica en el sector.</t>
  </si>
  <si>
    <t>Numero de Revisiones Realizadas 1255 /Numero de revisones planeadas 2750</t>
  </si>
  <si>
    <t>03 / 04.</t>
  </si>
  <si>
    <t>1  / 1</t>
  </si>
  <si>
    <t>Formular y publicar el Plan anticorrupción y de atención al ciudadano</t>
  </si>
  <si>
    <t>Fue elaborado el Plan Anticorrupción y Atención al Ciudadano, el cual fue adoptado por la Resolución 019 de 2021 Por la cual se adopta el Plan Anticorrupción y de atención al ciudadano de la Dirección de Tránsito de Bucaramanga Vigencia 2021 y publicado en l apágina web de la entidad https://www.transitobucaramanga.gov.co/resolucion/archivos/resolucion-019-2021.pdf</t>
  </si>
  <si>
    <t>Se realizó de forma mensual el Seguimiento al Plan de Desarrollo Municpal, el cual fue reportado a la Secretaría de Planeación Municipal y consolidadoal I Trimestre al Concejo Municipal</t>
  </si>
  <si>
    <t>En el mes de enero de 2021 se realizó el Seguimiento al Plan de Acción Institucional del IV Trimestre y acumulado vigencia 2020, el cual fue enviado a Control interno para la verificación de evidencias</t>
  </si>
  <si>
    <t>5 / 5</t>
  </si>
  <si>
    <t>La Oficina Asesora de Planeación actualizó los 5 proyectos de inversión formulaos en el marco del nuevo Plan de desarrollo, así mismo ha apoyado a las Oficina Asesora de Sistemas y la Dirección General en la gestión de recursos que le permitan formular más proyectos de inversión</t>
  </si>
  <si>
    <t>3 / 3</t>
  </si>
  <si>
    <t>Se han realizados las acciones pertienetes en el plan de Trabajo del MIPG de la DTB, para el I Trimestre, así como el seguimeinto de avance de implementación, el cual arroja un cumplimiento del 61%</t>
  </si>
  <si>
    <t>NR</t>
  </si>
  <si>
    <t>Número de seguimientos  al cumplimiento  del Plan de Accion del Plan Local de Seguridad Vial</t>
  </si>
  <si>
    <t>Para el I Trimestre de 2021 se realizó seguimiento al Plan de Acción del Plan Local de Seguridad Vial</t>
  </si>
  <si>
    <t>174 / 174</t>
  </si>
  <si>
    <t>las 174 intersecciones semaforizadas de la ciudad de Bucaramanga se encuentan en funcionamiento</t>
  </si>
  <si>
    <t xml:space="preserve">1 / 1 </t>
  </si>
  <si>
    <t xml:space="preserve">La Dirección de Tránsito de Bucaramanga cuenta con el Sistema georreferenciado de Información </t>
  </si>
  <si>
    <t>No. De planes formulados /No. De planes presentados</t>
  </si>
  <si>
    <t>Los informes del SIA OBSERVA se entregaron oportunamente, Los informes de contratación, formatos de  liquidacion, pago de Impuestos Municipales, Departamentales y pago de impuestos a la DIAN, toda esta evidencia reposa en los archivos de gestión del área financiera y en el sistema interno de la entidad. Se presentó dificulta en el cargue de 3 Formatos del área finaciera en el Reporte del SIA Mional. Fueron ampliados de los plazos de entrega de los informes de de la categoria presupuestal; los de presupuesto ampliaron la entrega hasta el 30 de abril.</t>
  </si>
  <si>
    <t>3 Informes  presentados oportunamente / 4 Informes a presentar</t>
  </si>
  <si>
    <t xml:space="preserve">1 No. De informes presentados en el trimestre / 1 No. De informes a presentar  </t>
  </si>
  <si>
    <t>En el mes de marzo se realizó el Consejo Directivo de la Entidad donde se presentó informe</t>
  </si>
  <si>
    <t>3 No. De informes publicadados en el trimestre / 3 No. De informes a publicar</t>
  </si>
  <si>
    <t>Se han publicado en la página WEB, los estados de Situación Financiera de los meses de diciembre de 2020, enero y febrero del presente año en la página.
Los archivos  físicos y el sistema de gestión de la Subdirección Financiera Página WEB de la Dirección de Transito de Bucaramanga.</t>
  </si>
  <si>
    <t xml:space="preserve"> En el mes de febrero se proyectó el  la resolución sobre el PAC y fue aprobada por el consejo directivo en el mes de marzo y se dejó redactado el acuerdo para ser aprobado 
Existe el acuerdo 001 y ya se encuentr firmada y aprobada la resolución 139 por medio del cual se apruba el PAC par ala entidad para la vigencia 2021</t>
  </si>
  <si>
    <t xml:space="preserve">El seguimiento lo realiza la Tesorera general, pues, ningún pago se puede realizar sin que esté incluido en el PAC 
Los soportes reposan en la s dependencias de la tesoreria general </t>
  </si>
  <si>
    <t xml:space="preserve">3 No.  De seguimietnos realizados en el trimestre/ 3 No. Se Seguimientos </t>
  </si>
  <si>
    <t>15 / 15</t>
  </si>
  <si>
    <t>En el I Trimestre de 2021 se realizaron las 15 actividades planeadas en el marco de los dos ejes del Programa de Educación, promoción y valoración del uso de Medios de Transporte Sostenible y del uso de la Bicicleta</t>
  </si>
  <si>
    <t>En el I Trimestre se desarrollaron las actividades de lo 3 Programas de Educación en Seguridad Vial y movilidad sostenible</t>
  </si>
  <si>
    <t xml:space="preserve">3 / 3 </t>
  </si>
  <si>
    <t>La estrategia de Control Vial del Tránsito vehicular, peatonal y de la Seguridad Vial en el Municipio de Bucaramanga, está enfocada en la reducción de la accidentalidad vial mediante acciones de operativos de control salva vidas y regulación del tránsito vial, el control al transporte informal e infracciones asociadas.</t>
  </si>
  <si>
    <t>10 / 12</t>
  </si>
  <si>
    <t>De los 12 puntos Críticos de accidentalidad 10 contaron con todas las acciones integrales de cultura, señalización y control vial.</t>
  </si>
  <si>
    <t>No aplica para el II trimestre del 2021</t>
  </si>
  <si>
    <t>48/78</t>
  </si>
  <si>
    <t>En abril se realizó modificación al Plan de Trabajo del SIG, quedando establecidas 214 actividades en todo el plan. 
Para el primer trimestre una programación de 39 actividades que hasta la fecha se han cumplido 35 para un 90% de cumplimiento de este trimestre.
Para el segundo trimestre se programaron 78 actividades de las cuales se cumplieron con 48 para un 62% de cumplimiento del trimestre; hasta la fecha se lleva un acumulado de 39% de cumplimiento de todo el plan de trabajo del SIG.
El seguimiento detallado de las actividades realizadas y pendientes se encuentra en:
*Plan de trabajo SIG 2021.xlsx
Adicional se adjunta el:
*Informe de Gestión SIG 01-2021.docx</t>
  </si>
  <si>
    <t>Aud Programadas/ Aud Presentadas</t>
  </si>
  <si>
    <t>Numero de Revisiones Realizadas /Numero de revisones planeadas</t>
  </si>
  <si>
    <t>Estadisitcas Runt, se han realizado 1200 revisiones en primer trimestre del año a consecuencia de la pandemia y el aislamiento obligatorio del año 2020 que cambio las fechas de vencimientos y genero una crisis econmica en el sector.</t>
  </si>
  <si>
    <t>13/13</t>
  </si>
  <si>
    <t>La oficina de Control Interno y gestion para el segundo trimiestre de 2021, tenia programado los siguientes informes los cuales se cumplieron en su oportuno reporte y fueron informados a la alta Direccion y los de ley a los respectivo entes de control. Las evidencias de estos informes se encuentan en los correos electronicos enviados a la alta Direccion con los respectivos adjuntos de cada informe y tambien se encuentran de manera fisica y digital en la Oficina de Control Interno y Gestion.                                                                                                                                                                                                                                                                                                                                                                                    
                                                                                                                                                                                                                                                                                                                1. Informe de Austeridad del Gasto                                                                                                                                                                                                   2.Informe Plan anticorrupcion y de atencion al ciudadano- mapa de  Riesgos de Corrupción.                                                                                                                                                                  3.Seguimiento a Rendicion de Cuentas SIA observa         
4.Seguimiento al Plan Institucional                                                                                                                                                                                                                                                                                             5.Seguimiento al  Mapa de Riesgos Institucional 
6.Seguimiento planes de  mejoramiento  por proceso                                                       7.Seguimiento Acuerdos de Gestión                                                                                                                   8.Seguimiento a los formatos relacionados con la Rendicion de Cuenta de la Oficina  de Control Interno.                                                                                                                                                                                                                                                                   9.Seguimiento al plan de trabajo anual de seguridad y salud en el trabajo                                                                                                                                                                                                                         10.Informe de plan de acción  de la oficina de Control Interno                                                                                                                                                                                                                                                                                                                                                                                     11.Informe de indicadores  de la oficina de Control Interno y Gestion                                                                                                                   12.Informe de Gestion de la Oficna de control Interno                                                        13.Capacitacion de Auditoria del Sistema de Control Interno y Gestión y su articulación MIPG- curso Iberoamericano modelo integrado de planeacion y gestion MIPG</t>
  </si>
  <si>
    <t>5/6</t>
  </si>
  <si>
    <t xml:space="preserve">                                                                                                                                                                                          Teniendo en cuenta el programa anual de auditoria vigencia 2021, se programaron para el segundo  trimestre 4 auditorias las cuales se relacionana ac ontinuacion:                                       
                                                                                                                                                                                                          1. Auditoria Oficina Juridica: se dio apertura a la Auditoria a la oficina asesora Jurídica para el procedimiento de Licencias Retenidas el día 27 de mayo de 2021 con su respectivo plan de auditoria y solicitud de información y a la fecha nos encontramos en la ejecución y elaboración del Pre-informe.                                                                                 2.Audotiria de Contratación: se aperturo el proceso contratación el día 03 de mayo de 2021 con su respectivo plan de auditoria y solicitud de información. Se realizó entrega de pre informe el día 03 de junio de 2021, del cual se constituyen 12 observaciones, quedando en el informe final 9 hallazgos y 3 observaciones.
Se remitió a la oficina de Financiera la observación N°5 y el hallazgo 4 del cual fue suscrito su respectivo plan de mejoramiento y se adjunto a la auditoria de financiera.                                                                                                                                                                                          3.Audotoria de Control Interno Disciplinario se dio apertura el día 08 de Junio de 2021  con su respectivo plan de auditoria, se solicitó la debida información y se procedió a realizar las pruebas de campo.                                                                                                             4.Auditoria del proceso de Gestión TICS, se dio apertura a la auditoria el día 30 de marzo de 2021 entregando un pre-informe con 12 observaciones las cuales fueron refutadas por el equipo auditado quedando en el informe final 7 hallazgos y 12 observaciones, este informe fue entregado el día 28 de mayo.
Se realizo la respectiva entrega del plan de mejoramiento con fecha de 28 de junio de 2021.                                                                                                                                                                        5.Auditoria de Digitación fue entregada el día 28 de mayo de 2021 con dos (2) observaciones y dos (2) hallazgos la cual estaba inmersa dentro de la auditoria de sistemas, la cual se encuentra en la formulación del respectivo plan de mejoramiento por parte de Grupo de Control Vial. 
6.Auditoría  Especial  de Orden de Servicio  Agente de Transito se dio  inicio la planificacion del trabajo a desarrollar dentro de esta auditoria, la cual se ejecutara aparti del  01 de Julio de 2021. (se aplaza ejecucion de actividades por disfrute de vacaciones del asesor de control interno y carga laboral de la oficina)
Las evidencias de estos informes se encuentan en los correos electronicos enviados a la alta Direccion con los respectivos adjuntos de cada informe y tambien se encuentran de manera fisica y digital en la Oficina de Control Interno y Gestion.  
</t>
  </si>
  <si>
    <t>6/12</t>
  </si>
  <si>
    <t>Del segundo Trimestre se realizaron tres reuniones  de comité de reparto, quedando como evidencia tres actas, las cuales reposan en la Oficina de Control Interno disciplinario, bajo los radicados No. 01, 02 , 03, 04, 05 y 06</t>
  </si>
  <si>
    <t>29/47</t>
  </si>
  <si>
    <t>De de las 47 quejas que se han recibido en la vigencia 2021 se dio apertura e inidagacion preliminar a 29</t>
  </si>
  <si>
    <t>171/300</t>
  </si>
  <si>
    <t>La oficina cuenta con profesionales de apoyo y la Profesional Especializada ( e ) que evacuaron 171  procesos y/o quejas en el segundo trimestre de 2021 correspondientrs a vigencias 2019 y 2020</t>
  </si>
  <si>
    <t>12/12</t>
  </si>
  <si>
    <t>Se elaboraron los estudios y documentos previos para la contratación de 3 personas de servicios generales, un operario de mantenimiento y un ingeniero de mantenimiento.Se ha invertido $ 68.450.000 en el trimestre. 12 equipos de aire acondicionado intervenidos ,31 solicitudes de mantenimiento correctivo y preventivo,mantenimiento de zonas verdes y servicio de aseo diario de la entidad</t>
  </si>
  <si>
    <t>31/31</t>
  </si>
  <si>
    <t xml:space="preserve">Se realizaron los informes mensuales sobre las actividades realizadas desde el Grupo de Trabajo de Atención al Usuario, teniendo los siguientes informes:
*INFORME DE_ATENCION_CLIENTE_ABRIL_2021
*INFORME DE_ATENCION_CLIENTE_MAYO_2021 INFORME DE_ATENCION_CLIENTE_JUNIO_2021
</t>
  </si>
  <si>
    <t>2553/2817</t>
  </si>
  <si>
    <t xml:space="preserve">Para el segundo trimestre de 2021, el indicador de satisfacción al cliente obtuvo en los meses de abril , mayo y junio un total de 91% , 90 y 90% respectivamente, para un en promedio un 90.3% de satisfacción de los usuarios, para un total de 4362 respuestas, de las cuales la calificación ponderada entre excelentes y buenas fueron 3939 y un total de 423 la calificación fue de regular y mala. </t>
  </si>
  <si>
    <t>2209/2209</t>
  </si>
  <si>
    <t>Durante los meses de abril , mayo y junio se presentaron 2209 PQRS y  no se presentaron PQRS vencidas o no atendidas en terminos de ley, teniendo presente el decreto el artículo 5 del Decreto 491 de 2020 sobre la ampliación de tiempos de respuesta, por lo cual no se han realizado reportes a la Oficina de Control Interno Disciplinario desde el grupo de Atención al Usuario a este respecto.</t>
  </si>
  <si>
    <t>No se pudo cumplir con el levantamiento fisico de inventarios todad vez que la funcionaria encargada de esta actividad debido a una incapacida por contagio COVID, se tuvo que aplazar por un mes mas la terminacion de esta actividad. Es por esto que durante el mes de julio se culminara con esta labor.</t>
  </si>
  <si>
    <t>1. Actualización y publicación de los CCD en la pagina web de la entidad Link:https://transitobucaramanga.gov.co/comite-archivo.php
2. Asesoria en Organización documental a las oficinas Financiera, Cultura Vial, Subdirección Técnica, Control Vial, Ejecuciones Fiscales, Planeamiento Víal, Atención al Usuario. FT-GADM-032
3. Elaboración modulo de capacitación Gestión documental para todo el personal de la entidad. Evaluación de la capacitación.
4. Actualización del Inventario Documental del archivo central. Oficina Contabilidad. Años 1996-2000. FT-GAMD-022
5. Terminación del proceso de Eliminación documental. Publicación en la web y picado de los documentos
6. Sensibilización conservación documental. Circular No. 04 de Junio 24-2021
7. Actualización del normograma. email del 28-05-2021
8. Continuación con el proceso de Transferencias documentales. Oficinas Tesoreria, Contratación, Contabilidad, Cultura Víal, Registro Automotor, Planeamiento Vial, Control Interno Disciplinario
9. Asesorar en la actualización de las TRD. Circular 03 del 18-05-2021.  Revisión de solicitudes presentadas
10,Respuesta de consulta de 270 solicitudes al archivo central y 189 solicitudes a la correpondencia
11. Progaramas de desinfección al archivo en coordinación con la oficina de calidad
12. Revisión del Manual de organización del archivo</t>
  </si>
  <si>
    <t xml:space="preserve">1. Organización de Archivos (Gestión y Central)
Continuación del proceso de actualización TRD solicitud de oficinas de Inspección 3, Sistemas, Cultura Vial. Proceso de revisión para presentación al comité de Gestión y Desempeño, Asesoria en materia de capacitación y apoyo a las oficinas de Financiera, Cultura Vial, Subdirección Técnica, Control Vial, Ejecuciones Fiscales, Planeamiento Víal, Atención al Usuario. FT-GADM-032
Revisión de Inventario documental del archivo central. (proceso de depuración y actualización)
Recepción de Transferencias. (284 cajas, 199217 folios)
2. Conservación documental
Acondicionamiento de más espacio y estantes en el archivo central (Plan de mejoramiento).
Proceso de Compra de carpetas de 4 aletas. Contrato No. 187 del 15 Junio 2021
En coordinación con la oficina de calidad Jornada de lavado de tanques. (21 -05-2021) para la eliminación de factores biologicos. 
Limpieza general de las instalaciones del archivo central por parte del personal de servicios generales cada semana.
</t>
  </si>
  <si>
    <t>Correspondencia externa recibida. Recepción de 4,426 oficios que se despacharon oportunamente en su totalidad a las diferentes oficinas de la entidad 
Envio de 19,588 oficios en los sistemas de correspondencia masiva dirigidaa 16151, correspondencia posexpres 1322,  correspondencia certificado 984,  correspondencia entrega rápida motorizado 1.131  operador Servicios Postales Nacionales 472</t>
  </si>
  <si>
    <t>32/34</t>
  </si>
  <si>
    <t>De las 34 actividades programadas en el PEGTH, se cumplieron 32 dando un cumplimiento de la meta para el período evaluado del 94%
El Plan se encuentra publicado en la página Web de la Entidad .  Los soportes se  encuentran en   los  archivos electrónicos y físico de la Oficina Gestora.</t>
  </si>
  <si>
    <t>72/96</t>
  </si>
  <si>
    <t>La meta de del segundo trimestre se estableció en un 30% el cual se dio cumplimiento a un 22%. Las evidencias se reflejan en los informes de gestión mensual y trimestral y en el seguimiento al plan de trabajo anual del SG-SST</t>
  </si>
  <si>
    <t>En el II Trimestre se desarrollaron las actividades de lo 3 Programas de Educación en Seguridad Vial y movilidad sostenible</t>
  </si>
  <si>
    <t>El Grupo de Georeferenciación tiene programadas 2 visitas cada semana, y durante el tercer II trimestre del año, resultando un total de 24 visitas de campo para el presente periodo evaluado, y en concordancia con el Informe de Gestión del II trimestre del proceso de Planeamiento Vial.</t>
  </si>
  <si>
    <t>las 174 intersecciones semaforizadas de la ciudad de Bucaramanga se encuentan en funcionamiento, en las cuales se adelantó periodicamente Mantenimiento correctivo y preventivo para garantizar su continuo funcionamiento 24/7.</t>
  </si>
  <si>
    <t>Durante el segundo trimestre se realizó visita para coordinación frente de Seguridad y Señalización en la estación de Policia del Norte junto con los Lideres de las Comunas 4, 13 y 14 de Bucaramanga.</t>
  </si>
  <si>
    <t xml:space="preserve">En los meses de Abril a Junio debido a las manifestaciones presentada se trabajó principalmente en el mantenimiento, retiro y adecuacion de señales verticales, más sin embargo con el equipo de señalización se brindó seguridad en las vías de la ciudad,  en pro de la de la integridad de los usuarios que transitan por dichas vías, a través del mantenimiento y demarciones horizontales,  hechos que reposan en en el informe de gestión, como también en el seguimiento del POAI  y en el porcentaje aquí consignado del 123%. </t>
  </si>
  <si>
    <t>Es de resaltar que la señalización vial es una respuesta a la necesidad de organizar las vías de la ciudad, las cuales permiten que la convivencia en la vía pública sea óptima y segura. En el informe de gestión se evidencia las actividades desarrolladas, arrojando un 91% de este indicador de manera satisfactorio durante el segundo trismestre del año 2021.</t>
  </si>
  <si>
    <t>Debido a que el suministro de señales verticales para el año 2021  se inicia a principios del segundo semestre, se espera que en el proximo reporte de plan de acción trimestral contemos con las señales requeridas para cumplir con la meta mínima establecida de 25 instalaciones.</t>
  </si>
  <si>
    <t>Duante el segundo trimestre del año 2021 no se interviene en este indicador, proyectandose a dar cumplimiento en los siguientes trimestres restantes.</t>
  </si>
  <si>
    <t xml:space="preserve">Se cumple con más de  la mitad de la meta establecida en el indicador, teniendo en cuenta que para el año se deberán realizar 214 mantenimientos y/o demarcaciones de las intersecciones peatonales-vehiculares en las comunas 1 y 2 del municipio de Bucaramanga, que teniendo en cuenta lo intervenido durante este primer semestre, se tienen 124 intersecciones realizadas, más de la mitad. </t>
  </si>
  <si>
    <t>1/1</t>
  </si>
  <si>
    <t>174/174</t>
  </si>
  <si>
    <t>30/25</t>
  </si>
  <si>
    <t>342/375</t>
  </si>
  <si>
    <t>0/1</t>
  </si>
  <si>
    <t>23/54</t>
  </si>
  <si>
    <t>20/20</t>
  </si>
  <si>
    <t xml:space="preserve">En el II trimestre de 2021 se realizaron las 20 activiades planeadas en el marco de los ejes del propgrama de educacion, promocion y valoracion del uso de medios de transporte sostenible y uso de la bicicleta </t>
  </si>
  <si>
    <t>4,5 / 10</t>
  </si>
  <si>
    <t>•	Diagnóstico del estado actual de la Entidad.
•	Borrador de PETI vigencia 2021 – 2023. Este fue entregado a planeación DTB con el fin de recibir observaciones. Actualmente se están implementando las correcciones al documento y se espera que para finalizar el trimestre III este terminado, socializado y publicado. 
•	STS:  Servicios Técnicos de Sistemas – Se realiza gestión ante la Oficina Asesora TIC de la Alcaldía de Bucaramanga para Implementar la plataforma WEB, Actualmente se encuentra operativa y se prevé que para el trimestre III este funcional para todos los funcionarios y contratistas de la Entidad.  Esto es un logro con costo cero para la Entidad. 
•	Ventanilla Única DTB: Se tiene proyecto para que la Entidad haga parte de un plan piloto el cual unifique las ventanillas únicas de los entes descentralizados de la Alcaldía de Bucaramanga. Se espera que para el trimestre III esto este implementado y funcionando en la Entidad</t>
  </si>
  <si>
    <t xml:space="preserve">58 / 58 </t>
  </si>
  <si>
    <t xml:space="preserve">Se realizaron revisiones a los equipos de la entidad según lo estipulado en el cronograma de mantenimiento realizado.  </t>
  </si>
  <si>
    <t>20 / 78</t>
  </si>
  <si>
    <t>138.908 / 138,908</t>
  </si>
  <si>
    <t>1287 / 445</t>
  </si>
  <si>
    <t>Se evidencia un aumento en el número de matrículas realizadas durante el SEGUNDO trimestre del año 2021, superando la meta trazada del 50% con relación al trimestre del año anterior, pese a los inconvenientes presentados tales como la disminución de la venta de vehículos debido a la declaratoria del estado de emergencia sanitaria a causa de la pandemia por COVID-19,  las dificultades por el paro nacional que aun afectan la economía y por el incremento acelerado del dolar, lo que presenta un impacto negativo en la venta de vehiculos.
Es de anotar que la reactivación de la economía ha conllevado a la aplicación de protocolos de bioseguridad como lo es la flexibilización del horario laboral para el personal que labora en la entidad y el control de ingreso de usuarios a las instalaciones.
Cabe anotar que en el mes de MARZO de 2020, el Grupo de Registro Automotor no prestó sus servicios a los usuarios entre el 20 de marzo y el 06 de mayo de la presente vigencia ya que el país se encontraba en cuarentena decretada por el Gobierno Nacional, según Resolución 385 del 12 de marzo de 2020 expedida por el Ministerio de Salud y Protección Social, y de conformidad con el artículo 69 de la ley 1753 de 2015 (seguridad social) mediante el cual declaró la emergencia sanitaria en todo el territorio Nacional hasta el 30 de mayo de 2020, Decreto 417 del 17 de marzo 2020.</t>
  </si>
  <si>
    <t>1417 / 1148</t>
  </si>
  <si>
    <t>Se evidencia un aumento en el número de matrículas realizadas durante el PRIMER trimestre del año 2021, superando la meta trazada del 50% con relación al trimestre del año anterior, pese a los inconvenientes presentados tales como la disminución de la venta de vehículos debido a la declaratoria del estado de emergencia sanitaria a causa de la pandemia por COVID-19.
Es de anotar que la reactivación de la economía ha conllevado a la aplicación de protocolos de bioseguridad como lo es la flexibilización del horario laboral para el personal que labora en la entidad y el control de ingreso de usuarios a las instalaciones.
De otra parte, para el mes de marzo del año 2020, no se laboró los últimos 8 días del mes debido a la cuarentena decretada por el Gobierno Nacional.</t>
  </si>
  <si>
    <t>No reportada</t>
  </si>
  <si>
    <t>2258/2258</t>
  </si>
  <si>
    <t>Durante el PRIMER trimestre del año 2021, se registró un total de 2258 medidas cautelares</t>
  </si>
  <si>
    <t>2327 / 2327</t>
  </si>
  <si>
    <t>Durante el SEGUNDO trimestre del año 2021, se registró un total de 2327 medidas cautelares</t>
  </si>
  <si>
    <t>17782 / 17782</t>
  </si>
  <si>
    <t>3  / 12</t>
  </si>
  <si>
    <t>a corte de segundo trimestre de 2021 se realizó el Seguimiento al Plan de Acción Institucional dacumulado de la vigencia 2021, el cual fue enviado a Control interno para la verificación de evidencias</t>
  </si>
  <si>
    <t>1/4</t>
  </si>
  <si>
    <t>2/4</t>
  </si>
  <si>
    <t>5/5</t>
  </si>
  <si>
    <t>Se han realizados las acciones pertienetes en el plan de Trabajo del MIPG de la DTB, para el II Trimestre, así como el seguimeinto de avance de implementación, el cual arroja un cumplimiento del 81%</t>
  </si>
  <si>
    <t>La DTB cuenta con el Plan Anual de Adquciciones el cual fua aprobado por comité y adoptado por medio del Resolución No. 04 del 4 de enero de 2021</t>
  </si>
  <si>
    <t>La DTB cuenta con el Plan Anual de Adquciciones el cual fua aprobado por comité y adoptado por medio del Resolución No. 04 del 4 de enero de 2021, asi mismo, se llevo a cabo el cargue del Plan Anual de Adquiciciones en el SECOP II</t>
  </si>
  <si>
    <t>1/2</t>
  </si>
  <si>
    <t>2/2</t>
  </si>
  <si>
    <t>De los 12 puntos Críticos de accidentalidad 12 contaron con todas las acciones integrales de cultura, señalización y control vial.</t>
  </si>
  <si>
    <t>2 / 4</t>
  </si>
  <si>
    <t xml:space="preserve">meta cumplida </t>
  </si>
  <si>
    <t>3 Informes  presentados oportunamente / 3 Informes a presentar</t>
  </si>
  <si>
    <t xml:space="preserve">Se cumplió con la presentación de los informes a la Contraloría Municipal correspondientes al SIA OBSERVA, los formatos de  liquidacion, el pago de Impuestos Municipales, Departamentales y Nacionales. 
Los documentos reposan en los archivos de gestión del área financiera y en el sistema interno de la entidad. </t>
  </si>
  <si>
    <t xml:space="preserve"> No. De informes presentados en el trimestre /  No. De informes a presentar  </t>
  </si>
  <si>
    <t xml:space="preserve">Se presentó ante el Comité de Gestión del día 19 de mayo, el informe de ejecución del mes de abril. El informe de ejecución de mayo, no se presentó por cuanto no hubo citación a dicho Comité. El informe del mes de junio, se presenta, después del 20 del mes de julio, ,una vez reportados los ingresos por SIMIT y rendimientos financieros. </t>
  </si>
  <si>
    <t>3 No. De informes publicados en el trimestre / 3 No. De informes a publicar</t>
  </si>
  <si>
    <t xml:space="preserve">Se publicaron los Estados Financieros y los informes de Ejecución Presupuestal. </t>
  </si>
  <si>
    <t xml:space="preserve">NA </t>
  </si>
  <si>
    <t xml:space="preserve">3 No.  De seguimientos realizados en el trimestre/ 3 No. Se Seguimientos </t>
  </si>
  <si>
    <t xml:space="preserve">Se realizó seguimiento mensual a la ejecución del PAC y se adelantaron los ajustes correspondientes. </t>
  </si>
  <si>
    <t>porcentaje de aumento de cartera recuperada</t>
  </si>
  <si>
    <t xml:space="preserve">Se logró un incremento del 17% con respecto al primer semestre de la vigencia 2020, al pasar de $2.230 millones a un recaudo por recuperación de cartera (vigencias anteriores) de $2.612 millones. </t>
  </si>
  <si>
    <t>Se instauraron veintidos (22) denuncias penales. Se hizo revisión de los oficios 069, 070, 071, 072, 079 107, 109, 120, 122, 134 firmados por la dirección General. Se realizaron 53 Asesorias a Registro Automotor.</t>
  </si>
  <si>
    <t>Atendidos seis ( 6) requerimientos proyectando sus respuestas con los conceptos  C:05 , C:06, C:07, C:08, C:09, C:10.</t>
  </si>
  <si>
    <t>se realizo el acompañamiento y asesoria juridica a las diferentes  dependencias de la entidad, realizando la revision y/o proyección  de Doscientas ocho quince (208  ) resoluciones y 32 Resoluciones de Devolución de Dinero (tesoreria).</t>
  </si>
  <si>
    <t>1. Se recepciono, tramito y dio respuesta a 8 peticiones presentadas por los grupos de valor y grupos de interes. Todos estos dentro del cumplimiento de los teminos de Ley 1755 de 2015
2. Se recepciono , tramito y dio respuesta a 14 solicitudes internas , mediante memorandos; los cuales fueron se gestionaron dentro de los terminos de ley.
3. Se expidieron 25 certificaciones  requeridas por personal contratista de la entidad.
4. Se recepciono, tramito y dio respuesta a 2 PQRS, a las cuales se les dio cumplimiento dentro de los terminos de Ley.
5. Los expedientes contractuales se encuentran ordenados y organizados de acuerdo a las tecnicas legales archivisticas.</t>
  </si>
  <si>
    <t xml:space="preserve">1. Se publicaron en SECOP  y SIA OBSERVA 56  procesos contractruales ,  los cuales fueron registrados acorde a cada una de las etapas , según su modalidad.
2. Se realizaron 57 nombramiento de supervisores
3. Aprobacion de 35 polizas
</t>
  </si>
  <si>
    <t>En el segundo trimestre de los corrientes  se asignaron a los abogados Adscritos a la Oficina Asesora Jurídica y se les dio trámite al 100% de los procesos judiciales, extrajudiciales y Acciones Constitucionales notificadas a la misma dentro de los términos otorogados por la Ley.</t>
  </si>
  <si>
    <t xml:space="preserve">En el segundo trimestre  de los corrientes se dio trámite oportuno a los Derechos de Petición presentados ante la Oficina Asesora Jurídica, dentro del término de ley, de conformidad con la Ley 1755  de 2015. </t>
  </si>
  <si>
    <t>En el segundo trimestre de los corrientes se elaboro  el Reporte de los procesos judiciales activos para la Contraloría Municipal de Bucaramanga en el respectivo formato.</t>
  </si>
  <si>
    <t>En el segundo trimestre de los corrientes se realizaron los correspondientes  oficios remisorios de Informes Unicos de Infracciones al Transporte (IUIT) dirigidos a las autoridades competentes entre ellas el Area Metropolitana de Bucaramanga, Superintendencia de Puertos y Transporte, Secretaría de Tránsporte de Piedecuesta (Alcaldía), Secretaría de Tránsporte de Lebrija (Alcaldía), DIrección de Tránsito y Transporte de Floridablanca, entre otros.</t>
  </si>
  <si>
    <t xml:space="preserve">En el segundo trimestre de los corrientes se dio trámite y se asumió el conocimiento del  100% de los recursos interpuestos dentro de los procesos contravencionales allegados por competencia al Despacho de la Oficina Asesora Jurídica. </t>
  </si>
  <si>
    <t>Libros radicadores, sistema MOVLIZA, expedientes físicos.</t>
  </si>
  <si>
    <t>Sistema misional MOVILIZA,  correo institucional, expedientes físicos.</t>
  </si>
  <si>
    <t>Correo institucional, plataforma MEET, avisos fijados en el despacho y en la pagina web, libros radicadores, libro de correspondencia.</t>
  </si>
  <si>
    <t>539 / 562</t>
  </si>
  <si>
    <t>Durante el SEGUNDO trimestre del año 2021, el Grupo de Registro Automotor recepcionó a través de la plataforma Web un total de 562 PQRD de las cuales a la fecha 539 figuran en estado CERRADO y 23 en estado ASIGNADO.  
Es de aclarar que a la fecha nos encontramos dentro dentro del término de ley para emitir respuesta de fondo para aquellas solicitudes que se encuentran pendientes por respuesta.</t>
  </si>
  <si>
    <t>(6097 / 2533) * 100</t>
  </si>
  <si>
    <t xml:space="preserve">Durante el primer semestre de 2020 fueron solicitadas 2533 Licencias de Conducción y en el primer semestre de 2021 se expidieron 6097 Licencias de Conducción, incrementado más del 5% con respescto a la vigencia anterior.         </t>
  </si>
  <si>
    <t>4/5*100</t>
  </si>
  <si>
    <t xml:space="preserve">Se desarrollaron las acciones correspondientes a la publicación diaria de contenidos en las redes sociales facebook, Twitter e Instagram, la elaboración y publicación de boletines de prensa; la producción y difusión de piezas gráficas y audiovisuales.  Las evidencias y  estadísticas de las acciones adelantadas se encuentran en el informe  adjunto al presente Plan de Acción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</si>
</sst>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 #,##0.00_);_(&quot;$&quot;\ * \(#,##0.00\);_(&quot;$&quot;\ * &quot;-&quot;??_);_(@_)"/>
    <numFmt numFmtId="165" formatCode="_(* #,##0.00_);_(* \(#,##0.00\);_(* &quot;-&quot;??_);_(@_)"/>
    <numFmt numFmtId="166" formatCode="_(&quot;$&quot;\ * #,##0_);_(&quot;$&quot;\ * \(#,##0\);_(&quot;$&quot;\ * &quot;-&quot;??_);_(@_)"/>
    <numFmt numFmtId="167" formatCode="_-[$$-240A]* #,##0_-;\-[$$-240A]* #,##0_-;_-[$$-240A]* &quot;-&quot;??_-;_-@_-"/>
    <numFmt numFmtId="168" formatCode="0.0%"/>
  </numFmts>
  <fonts count="10" x14ac:knownFonts="1">
    <font>
      <sz val="11"/>
      <color theme="1"/>
      <name val="Calibri"/>
      <family val="2"/>
      <scheme val="minor"/>
    </font>
    <font>
      <sz val="11"/>
      <color theme="1"/>
      <name val="Calibri"/>
      <family val="2"/>
      <scheme val="minor"/>
    </font>
    <font>
      <b/>
      <sz val="12"/>
      <name val="Arial"/>
      <family val="2"/>
    </font>
    <font>
      <sz val="12"/>
      <name val="Arial"/>
      <family val="2"/>
    </font>
    <font>
      <sz val="11"/>
      <color theme="1"/>
      <name val="Arial"/>
      <family val="2"/>
    </font>
    <font>
      <sz val="12"/>
      <color theme="1"/>
      <name val="Arial"/>
      <family val="2"/>
    </font>
    <font>
      <sz val="12"/>
      <color theme="1"/>
      <name val="Arial"/>
    </font>
    <font>
      <sz val="12"/>
      <name val="Arial"/>
    </font>
    <font>
      <sz val="11"/>
      <name val="Arial"/>
      <family val="2"/>
    </font>
    <font>
      <sz val="13"/>
      <name val="Arial"/>
      <family val="2"/>
    </font>
  </fonts>
  <fills count="13">
    <fill>
      <patternFill patternType="none"/>
    </fill>
    <fill>
      <patternFill patternType="gray125"/>
    </fill>
    <fill>
      <patternFill patternType="solid">
        <fgColor theme="9" tint="-0.249977111117893"/>
        <bgColor rgb="FF000000"/>
      </patternFill>
    </fill>
    <fill>
      <patternFill patternType="solid">
        <fgColor theme="9" tint="-0.249977111117893"/>
        <bgColor indexed="64"/>
      </patternFill>
    </fill>
    <fill>
      <patternFill patternType="solid">
        <fgColor theme="9" tint="0.39997558519241921"/>
        <bgColor indexed="64"/>
      </patternFill>
    </fill>
    <fill>
      <patternFill patternType="solid">
        <fgColor theme="0"/>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FFFFFF"/>
        <bgColor rgb="FFFFFFFF"/>
      </patternFill>
    </fill>
    <fill>
      <patternFill patternType="solid">
        <fgColor theme="0"/>
        <bgColor theme="0"/>
      </patternFill>
    </fill>
    <fill>
      <patternFill patternType="solid">
        <fgColor theme="7" tint="0.59999389629810485"/>
        <bgColor indexed="64"/>
      </patternFill>
    </fill>
    <fill>
      <patternFill patternType="solid">
        <fgColor theme="7" tint="0.399975585192419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cellStyleXfs>
  <cellXfs count="186">
    <xf numFmtId="0" fontId="0" fillId="0" borderId="0" xfId="0"/>
    <xf numFmtId="0" fontId="2" fillId="5" borderId="1" xfId="0" applyFont="1" applyFill="1" applyBorder="1" applyAlignment="1">
      <alignment horizontal="center" vertical="center" wrapText="1"/>
    </xf>
    <xf numFmtId="0" fontId="3" fillId="5" borderId="1" xfId="0" applyFont="1" applyFill="1" applyBorder="1" applyAlignment="1">
      <alignment horizontal="left" vertical="center" wrapText="1"/>
    </xf>
    <xf numFmtId="0" fontId="3" fillId="5" borderId="1" xfId="0" applyFont="1" applyFill="1" applyBorder="1" applyAlignment="1">
      <alignment horizontal="center" vertical="center" wrapText="1"/>
    </xf>
    <xf numFmtId="9" fontId="3" fillId="5" borderId="1" xfId="0" applyNumberFormat="1" applyFont="1" applyFill="1" applyBorder="1" applyAlignment="1">
      <alignment horizontal="center" vertical="center" wrapText="1"/>
    </xf>
    <xf numFmtId="9" fontId="3" fillId="5" borderId="1" xfId="3" applyFont="1" applyFill="1" applyBorder="1" applyAlignment="1">
      <alignment horizontal="center" vertical="center" wrapText="1"/>
    </xf>
    <xf numFmtId="9" fontId="3" fillId="7" borderId="1" xfId="0" applyNumberFormat="1"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justify" vertical="center" wrapText="1"/>
    </xf>
    <xf numFmtId="9" fontId="3" fillId="0" borderId="1" xfId="3" applyFont="1" applyFill="1" applyBorder="1" applyAlignment="1">
      <alignment horizontal="center" vertical="center" wrapText="1"/>
    </xf>
    <xf numFmtId="49" fontId="3" fillId="5" borderId="1" xfId="0" applyNumberFormat="1" applyFont="1" applyFill="1" applyBorder="1" applyAlignment="1">
      <alignment horizontal="center" vertical="center" wrapText="1"/>
    </xf>
    <xf numFmtId="9" fontId="3" fillId="0" borderId="1" xfId="0" applyNumberFormat="1" applyFont="1" applyBorder="1" applyAlignment="1">
      <alignment horizontal="center" vertical="center" wrapText="1"/>
    </xf>
    <xf numFmtId="0" fontId="3" fillId="5" borderId="1" xfId="0" applyFont="1" applyFill="1" applyBorder="1" applyAlignment="1">
      <alignment vertical="center" wrapText="1"/>
    </xf>
    <xf numFmtId="10" fontId="3" fillId="5" borderId="1" xfId="3" applyNumberFormat="1" applyFont="1" applyFill="1" applyBorder="1" applyAlignment="1">
      <alignment horizontal="left" vertical="center" wrapText="1"/>
    </xf>
    <xf numFmtId="10" fontId="3" fillId="5" borderId="1" xfId="3" applyNumberFormat="1" applyFont="1" applyFill="1" applyBorder="1" applyAlignment="1">
      <alignment horizontal="center" vertical="center" wrapText="1"/>
    </xf>
    <xf numFmtId="9" fontId="3" fillId="0" borderId="1" xfId="0" applyNumberFormat="1" applyFont="1" applyFill="1" applyBorder="1" applyAlignment="1">
      <alignment horizontal="left" vertical="center" wrapText="1"/>
    </xf>
    <xf numFmtId="0" fontId="2" fillId="0"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9" fontId="3" fillId="5" borderId="1" xfId="3" applyFont="1" applyFill="1" applyBorder="1" applyAlignment="1">
      <alignment horizontal="left" vertical="center" wrapText="1"/>
    </xf>
    <xf numFmtId="0" fontId="3" fillId="0" borderId="1" xfId="0" applyFont="1" applyFill="1" applyBorder="1" applyAlignment="1">
      <alignment horizontal="center" vertical="center" textRotation="180" wrapText="1"/>
    </xf>
    <xf numFmtId="10" fontId="3" fillId="0" borderId="1" xfId="0" applyNumberFormat="1" applyFont="1" applyFill="1" applyBorder="1" applyAlignment="1">
      <alignment horizontal="center" vertical="center" wrapText="1"/>
    </xf>
    <xf numFmtId="0" fontId="3" fillId="5" borderId="1" xfId="1" applyNumberFormat="1" applyFont="1" applyFill="1" applyBorder="1" applyAlignment="1">
      <alignment horizontal="center" vertical="center" wrapText="1"/>
    </xf>
    <xf numFmtId="1" fontId="3" fillId="5" borderId="1" xfId="3"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9" fontId="3" fillId="5" borderId="1" xfId="0" applyNumberFormat="1" applyFont="1" applyFill="1" applyBorder="1" applyAlignment="1">
      <alignment horizontal="left" vertical="center" wrapText="1"/>
    </xf>
    <xf numFmtId="10" fontId="3" fillId="5" borderId="1" xfId="0" applyNumberFormat="1" applyFont="1" applyFill="1" applyBorder="1" applyAlignment="1">
      <alignment horizontal="center" vertical="center" wrapText="1"/>
    </xf>
    <xf numFmtId="1" fontId="3" fillId="5" borderId="1" xfId="0" applyNumberFormat="1" applyFont="1" applyFill="1" applyBorder="1" applyAlignment="1">
      <alignment horizontal="center" vertical="center" wrapText="1"/>
    </xf>
    <xf numFmtId="0" fontId="3" fillId="8" borderId="1" xfId="0"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9" fontId="3" fillId="0" borderId="1" xfId="0" applyNumberFormat="1" applyFont="1" applyBorder="1" applyAlignment="1">
      <alignment horizontal="left" vertical="center" wrapText="1"/>
    </xf>
    <xf numFmtId="0" fontId="3" fillId="0" borderId="1" xfId="0" applyFont="1" applyFill="1" applyBorder="1" applyAlignment="1">
      <alignment vertical="center" textRotation="180" wrapText="1"/>
    </xf>
    <xf numFmtId="9" fontId="3" fillId="0" borderId="1" xfId="3" applyFont="1" applyBorder="1" applyAlignment="1">
      <alignment horizontal="center" vertical="center" wrapText="1"/>
    </xf>
    <xf numFmtId="168"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9" fontId="3" fillId="0" borderId="1" xfId="3" applyFont="1" applyFill="1" applyBorder="1" applyAlignment="1">
      <alignment horizontal="left" vertical="center" wrapText="1"/>
    </xf>
    <xf numFmtId="0" fontId="3" fillId="5" borderId="1" xfId="4" applyFont="1" applyFill="1" applyBorder="1" applyAlignment="1">
      <alignment vertical="center" wrapText="1"/>
    </xf>
    <xf numFmtId="0" fontId="2" fillId="3" borderId="1" xfId="0" applyFont="1" applyFill="1" applyBorder="1" applyAlignment="1">
      <alignment vertical="center" wrapText="1"/>
    </xf>
    <xf numFmtId="0" fontId="3" fillId="0" borderId="1" xfId="0" applyFont="1" applyFill="1" applyBorder="1" applyAlignment="1">
      <alignment horizontal="left" vertical="center" wrapText="1"/>
    </xf>
    <xf numFmtId="0" fontId="3" fillId="6"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Border="1" applyAlignment="1">
      <alignment vertical="center" wrapText="1"/>
    </xf>
    <xf numFmtId="0" fontId="2" fillId="4" borderId="1" xfId="0" applyFont="1" applyFill="1" applyBorder="1" applyAlignment="1">
      <alignment vertical="center" wrapText="1"/>
    </xf>
    <xf numFmtId="166" fontId="3" fillId="0" borderId="1" xfId="2" applyNumberFormat="1" applyFont="1" applyFill="1" applyBorder="1" applyAlignment="1">
      <alignment vertical="center" wrapText="1"/>
    </xf>
    <xf numFmtId="0" fontId="3" fillId="0" borderId="0" xfId="0" applyFont="1" applyAlignment="1">
      <alignment horizontal="center" vertical="center" wrapText="1"/>
    </xf>
    <xf numFmtId="9" fontId="3" fillId="5" borderId="1" xfId="1" applyNumberFormat="1" applyFont="1" applyFill="1" applyBorder="1" applyAlignment="1">
      <alignment horizontal="center" vertical="center" wrapText="1"/>
    </xf>
    <xf numFmtId="9" fontId="3" fillId="0" borderId="1" xfId="3" applyNumberFormat="1" applyFont="1" applyFill="1" applyBorder="1" applyAlignment="1">
      <alignment horizontal="center" vertical="center" wrapText="1"/>
    </xf>
    <xf numFmtId="1" fontId="3" fillId="5" borderId="1" xfId="1" applyNumberFormat="1" applyFont="1" applyFill="1" applyBorder="1" applyAlignment="1">
      <alignment horizontal="center" vertical="center" wrapText="1"/>
    </xf>
    <xf numFmtId="0" fontId="3" fillId="0" borderId="0" xfId="0" applyFont="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1" xfId="0" applyFont="1" applyFill="1" applyBorder="1" applyAlignment="1">
      <alignment horizontal="center" vertical="center" wrapText="1"/>
    </xf>
    <xf numFmtId="166" fontId="3" fillId="0" borderId="1" xfId="2"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3" fontId="3" fillId="5" borderId="1" xfId="3" applyNumberFormat="1"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0" borderId="5" xfId="0" applyFont="1" applyFill="1" applyBorder="1" applyAlignment="1">
      <alignment vertical="center" wrapText="1"/>
    </xf>
    <xf numFmtId="9" fontId="3" fillId="0" borderId="5" xfId="0" applyNumberFormat="1" applyFont="1" applyFill="1" applyBorder="1" applyAlignment="1">
      <alignment horizontal="center" vertical="center" wrapText="1"/>
    </xf>
    <xf numFmtId="49" fontId="3" fillId="5" borderId="5" xfId="0" applyNumberFormat="1" applyFont="1" applyFill="1" applyBorder="1" applyAlignment="1">
      <alignment horizontal="center" vertical="center" wrapText="1"/>
    </xf>
    <xf numFmtId="9" fontId="3" fillId="5" borderId="5" xfId="0" applyNumberFormat="1" applyFont="1" applyFill="1" applyBorder="1" applyAlignment="1">
      <alignment horizontal="center" vertical="center" wrapText="1"/>
    </xf>
    <xf numFmtId="9" fontId="3" fillId="0" borderId="5" xfId="3" applyFont="1" applyFill="1" applyBorder="1" applyAlignment="1">
      <alignment horizontal="center" vertical="center" wrapText="1"/>
    </xf>
    <xf numFmtId="0" fontId="3" fillId="0" borderId="5" xfId="0"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vertical="center" wrapText="1"/>
    </xf>
    <xf numFmtId="0" fontId="3" fillId="5" borderId="1" xfId="4" applyFont="1" applyFill="1" applyBorder="1" applyAlignment="1">
      <alignment horizontal="left" vertical="center" wrapText="1"/>
    </xf>
    <xf numFmtId="0" fontId="3" fillId="0" borderId="5" xfId="0" applyFont="1" applyFill="1" applyBorder="1" applyAlignment="1">
      <alignment horizontal="left" vertical="center" wrapText="1"/>
    </xf>
    <xf numFmtId="10" fontId="3" fillId="0" borderId="1" xfId="3" applyNumberFormat="1" applyFont="1" applyFill="1" applyBorder="1" applyAlignment="1">
      <alignment horizontal="left" vertical="center" wrapText="1"/>
    </xf>
    <xf numFmtId="0" fontId="2" fillId="0" borderId="0" xfId="0" applyFont="1" applyAlignment="1">
      <alignment vertical="center" wrapText="1"/>
    </xf>
    <xf numFmtId="0" fontId="3" fillId="0" borderId="0" xfId="0" applyFont="1" applyAlignment="1">
      <alignment horizontal="left" vertical="center" wrapText="1"/>
    </xf>
    <xf numFmtId="0" fontId="3" fillId="0" borderId="0" xfId="0" applyFont="1" applyBorder="1" applyAlignment="1">
      <alignment horizontal="left" vertical="center" wrapText="1"/>
    </xf>
    <xf numFmtId="49" fontId="3" fillId="0" borderId="1" xfId="0" applyNumberFormat="1" applyFont="1" applyBorder="1" applyAlignment="1">
      <alignment horizontal="center" vertical="center" wrapText="1"/>
    </xf>
    <xf numFmtId="0" fontId="3" fillId="5" borderId="7" xfId="0" applyFont="1" applyFill="1" applyBorder="1" applyAlignment="1">
      <alignment horizontal="left" vertical="center" wrapText="1"/>
    </xf>
    <xf numFmtId="49" fontId="5" fillId="0" borderId="7" xfId="0" applyNumberFormat="1" applyFont="1" applyBorder="1" applyAlignment="1">
      <alignment horizontal="center" vertical="center" wrapText="1"/>
    </xf>
    <xf numFmtId="9" fontId="3" fillId="5" borderId="7" xfId="0" applyNumberFormat="1" applyFont="1" applyFill="1" applyBorder="1" applyAlignment="1">
      <alignment horizontal="center" vertical="center" wrapText="1"/>
    </xf>
    <xf numFmtId="13" fontId="3" fillId="0" borderId="1" xfId="0" applyNumberFormat="1" applyFont="1" applyBorder="1" applyAlignment="1">
      <alignment horizontal="center" vertical="center" wrapText="1"/>
    </xf>
    <xf numFmtId="0" fontId="3" fillId="0" borderId="1" xfId="0" applyFont="1" applyBorder="1" applyAlignment="1">
      <alignment horizontal="left" vertical="top" wrapText="1"/>
    </xf>
    <xf numFmtId="9" fontId="3" fillId="0" borderId="0" xfId="0" applyNumberFormat="1" applyFont="1" applyAlignment="1">
      <alignment horizontal="center" vertical="center" wrapText="1"/>
    </xf>
    <xf numFmtId="9" fontId="5" fillId="0" borderId="0" xfId="3" applyFont="1" applyFill="1" applyBorder="1" applyAlignment="1">
      <alignment horizontal="center" vertical="center"/>
    </xf>
    <xf numFmtId="9" fontId="3" fillId="0" borderId="14" xfId="0" applyNumberFormat="1" applyFont="1" applyBorder="1" applyAlignment="1">
      <alignment horizontal="center" vertical="center" wrapText="1"/>
    </xf>
    <xf numFmtId="0" fontId="3" fillId="0" borderId="14" xfId="0" applyFont="1" applyBorder="1" applyAlignment="1">
      <alignment vertical="center" wrapText="1"/>
    </xf>
    <xf numFmtId="0" fontId="7" fillId="0" borderId="15" xfId="0" applyFont="1" applyBorder="1" applyAlignment="1">
      <alignment horizontal="left" vertical="center" wrapText="1"/>
    </xf>
    <xf numFmtId="0" fontId="3" fillId="0" borderId="1" xfId="0" applyFont="1" applyFill="1" applyBorder="1" applyAlignment="1">
      <alignment horizontal="center" vertical="center" wrapText="1"/>
    </xf>
    <xf numFmtId="10" fontId="3" fillId="5" borderId="1" xfId="3" applyNumberFormat="1" applyFont="1" applyFill="1" applyBorder="1" applyAlignment="1">
      <alignment horizontal="left" vertical="top" wrapText="1"/>
    </xf>
    <xf numFmtId="0" fontId="3" fillId="5" borderId="1" xfId="0" applyFont="1" applyFill="1" applyBorder="1" applyAlignment="1">
      <alignment horizontal="left" vertical="top" wrapText="1"/>
    </xf>
    <xf numFmtId="16" fontId="3" fillId="0" borderId="1" xfId="0" applyNumberFormat="1" applyFont="1" applyBorder="1" applyAlignment="1">
      <alignment horizontal="center" vertical="center" wrapText="1"/>
    </xf>
    <xf numFmtId="0" fontId="3" fillId="0" borderId="1" xfId="0" applyFont="1" applyBorder="1" applyAlignment="1">
      <alignment horizontal="justify" vertical="top" wrapText="1"/>
    </xf>
    <xf numFmtId="0" fontId="6" fillId="9" borderId="15" xfId="0" applyFont="1" applyFill="1" applyBorder="1" applyAlignment="1">
      <alignment horizontal="center" vertical="center"/>
    </xf>
    <xf numFmtId="9" fontId="6" fillId="9" borderId="16" xfId="0" applyNumberFormat="1" applyFont="1" applyFill="1" applyBorder="1" applyAlignment="1">
      <alignment horizontal="center" vertical="center"/>
    </xf>
    <xf numFmtId="0" fontId="6" fillId="9" borderId="17" xfId="0" applyFont="1" applyFill="1" applyBorder="1" applyAlignment="1">
      <alignment horizontal="center" vertical="center"/>
    </xf>
    <xf numFmtId="0" fontId="6" fillId="0" borderId="17" xfId="0" applyFont="1" applyFill="1" applyBorder="1" applyAlignment="1">
      <alignment horizontal="center" vertical="center"/>
    </xf>
    <xf numFmtId="9" fontId="6" fillId="0" borderId="16" xfId="0" applyNumberFormat="1" applyFont="1" applyFill="1" applyBorder="1" applyAlignment="1">
      <alignment horizontal="center" vertical="center"/>
    </xf>
    <xf numFmtId="0" fontId="3" fillId="0" borderId="15" xfId="0" applyFont="1" applyFill="1" applyBorder="1" applyAlignment="1">
      <alignment horizontal="left" vertical="center" wrapText="1"/>
    </xf>
    <xf numFmtId="9" fontId="5" fillId="0" borderId="15" xfId="0" applyNumberFormat="1" applyFont="1" applyFill="1" applyBorder="1" applyAlignment="1">
      <alignment horizontal="center" vertical="center" wrapText="1"/>
    </xf>
    <xf numFmtId="0" fontId="7" fillId="0" borderId="15" xfId="0" applyFont="1" applyFill="1" applyBorder="1" applyAlignment="1">
      <alignment horizontal="left" vertical="center" wrapText="1"/>
    </xf>
    <xf numFmtId="0" fontId="3" fillId="0" borderId="1" xfId="0" applyFont="1" applyFill="1" applyBorder="1" applyAlignment="1">
      <alignment horizontal="center" vertical="center" wrapText="1"/>
    </xf>
    <xf numFmtId="10" fontId="3" fillId="5" borderId="1" xfId="3" applyNumberFormat="1" applyFont="1" applyFill="1" applyBorder="1" applyAlignment="1">
      <alignment vertical="top" wrapText="1"/>
    </xf>
    <xf numFmtId="0" fontId="8" fillId="5" borderId="1" xfId="0" applyFont="1" applyFill="1" applyBorder="1" applyAlignment="1">
      <alignment horizontal="left" vertical="center" wrapText="1"/>
    </xf>
    <xf numFmtId="168" fontId="3" fillId="5" borderId="1" xfId="0" applyNumberFormat="1" applyFont="1" applyFill="1" applyBorder="1" applyAlignment="1">
      <alignment horizontal="center" vertical="center" wrapText="1"/>
    </xf>
    <xf numFmtId="9" fontId="3" fillId="0" borderId="1" xfId="0" applyNumberFormat="1" applyFont="1" applyBorder="1" applyAlignment="1">
      <alignment horizontal="left" vertical="top" wrapText="1"/>
    </xf>
    <xf numFmtId="13" fontId="3" fillId="0" borderId="1" xfId="0" quotePrefix="1" applyNumberFormat="1" applyFont="1" applyBorder="1" applyAlignment="1">
      <alignment horizontal="center" vertical="center" wrapText="1"/>
    </xf>
    <xf numFmtId="9" fontId="3" fillId="11" borderId="1" xfId="0" applyNumberFormat="1" applyFont="1" applyFill="1" applyBorder="1" applyAlignment="1">
      <alignment horizontal="center" vertical="center" wrapText="1"/>
    </xf>
    <xf numFmtId="0" fontId="3" fillId="11" borderId="1" xfId="0" applyFont="1" applyFill="1" applyBorder="1" applyAlignment="1">
      <alignment horizontal="left" vertical="center" wrapText="1"/>
    </xf>
    <xf numFmtId="0" fontId="3" fillId="9" borderId="15" xfId="0" applyFont="1" applyFill="1" applyBorder="1" applyAlignment="1">
      <alignment horizontal="center"/>
    </xf>
    <xf numFmtId="9" fontId="3" fillId="9" borderId="16" xfId="0" applyNumberFormat="1" applyFont="1" applyFill="1" applyBorder="1" applyAlignment="1">
      <alignment horizontal="center"/>
    </xf>
    <xf numFmtId="0" fontId="3" fillId="0" borderId="15" xfId="0" applyFont="1" applyBorder="1" applyAlignment="1">
      <alignment horizontal="left" vertical="center" wrapText="1"/>
    </xf>
    <xf numFmtId="0" fontId="3" fillId="10" borderId="15" xfId="0" applyFont="1" applyFill="1" applyBorder="1" applyAlignment="1">
      <alignment horizontal="center" vertical="center" wrapText="1"/>
    </xf>
    <xf numFmtId="9" fontId="3" fillId="10" borderId="15" xfId="0" applyNumberFormat="1" applyFont="1" applyFill="1" applyBorder="1" applyAlignment="1">
      <alignment horizontal="center" vertical="center" wrapText="1"/>
    </xf>
    <xf numFmtId="9" fontId="3" fillId="0" borderId="1" xfId="0" applyNumberFormat="1" applyFont="1" applyBorder="1" applyAlignment="1">
      <alignment vertical="center" wrapText="1"/>
    </xf>
    <xf numFmtId="9" fontId="9" fillId="0" borderId="1" xfId="0" applyNumberFormat="1" applyFont="1" applyBorder="1" applyAlignment="1">
      <alignment horizontal="center" vertical="center" wrapText="1"/>
    </xf>
    <xf numFmtId="9" fontId="3" fillId="0" borderId="15" xfId="0" applyNumberFormat="1" applyFont="1" applyBorder="1" applyAlignment="1">
      <alignment horizontal="center" vertical="center" wrapText="1"/>
    </xf>
    <xf numFmtId="0" fontId="3" fillId="12" borderId="1" xfId="0" applyFont="1" applyFill="1" applyBorder="1" applyAlignment="1">
      <alignment horizontal="center" vertical="center" wrapText="1"/>
    </xf>
    <xf numFmtId="9" fontId="3" fillId="0" borderId="1" xfId="3" applyFont="1" applyFill="1" applyBorder="1" applyAlignment="1">
      <alignment horizontal="center" vertical="center" wrapText="1"/>
    </xf>
    <xf numFmtId="9" fontId="3" fillId="0" borderId="1" xfId="0" applyNumberFormat="1" applyFont="1" applyBorder="1" applyAlignment="1">
      <alignment horizontal="center" vertical="center" wrapText="1"/>
    </xf>
    <xf numFmtId="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49" fontId="3" fillId="0" borderId="1" xfId="0" applyNumberFormat="1" applyFont="1" applyBorder="1" applyAlignment="1">
      <alignment horizontal="center" vertical="center" wrapText="1"/>
    </xf>
    <xf numFmtId="9" fontId="3" fillId="11" borderId="1" xfId="0" applyNumberFormat="1" applyFont="1" applyFill="1" applyBorder="1" applyAlignment="1">
      <alignment horizontal="left" vertical="center" wrapText="1"/>
    </xf>
    <xf numFmtId="9" fontId="6" fillId="11" borderId="15" xfId="0" applyNumberFormat="1" applyFont="1" applyFill="1" applyBorder="1" applyAlignment="1">
      <alignment horizontal="center" vertical="center" wrapText="1"/>
    </xf>
    <xf numFmtId="0" fontId="6" fillId="11" borderId="15" xfId="0" applyFont="1" applyFill="1" applyBorder="1" applyAlignment="1">
      <alignment horizontal="center" vertical="center" wrapText="1"/>
    </xf>
    <xf numFmtId="0" fontId="6" fillId="11" borderId="15" xfId="0" applyFont="1" applyFill="1" applyBorder="1" applyAlignment="1">
      <alignment horizontal="left" vertical="center" wrapText="1"/>
    </xf>
    <xf numFmtId="10" fontId="3" fillId="11" borderId="1" xfId="0" applyNumberFormat="1" applyFont="1" applyFill="1" applyBorder="1" applyAlignment="1">
      <alignment horizontal="center" vertical="center" wrapText="1"/>
    </xf>
    <xf numFmtId="49" fontId="6" fillId="11" borderId="15" xfId="0" applyNumberFormat="1" applyFont="1" applyFill="1" applyBorder="1" applyAlignment="1">
      <alignment horizontal="center" vertical="center" wrapText="1"/>
    </xf>
    <xf numFmtId="49" fontId="3" fillId="11" borderId="1" xfId="0" applyNumberFormat="1" applyFont="1" applyFill="1" applyBorder="1" applyAlignment="1">
      <alignment horizontal="center" vertical="center" wrapText="1"/>
    </xf>
    <xf numFmtId="0" fontId="3" fillId="11" borderId="1" xfId="0" applyFont="1" applyFill="1" applyBorder="1" applyAlignment="1">
      <alignment horizontal="center" vertical="center" wrapText="1"/>
    </xf>
    <xf numFmtId="0" fontId="3" fillId="11" borderId="1" xfId="0" applyFont="1" applyFill="1" applyBorder="1" applyAlignment="1">
      <alignment vertical="center" wrapText="1"/>
    </xf>
    <xf numFmtId="0" fontId="3" fillId="11" borderId="1" xfId="0" applyFont="1" applyFill="1" applyBorder="1" applyAlignment="1">
      <alignment horizontal="justify" vertical="center" wrapText="1"/>
    </xf>
    <xf numFmtId="9" fontId="3" fillId="11" borderId="1" xfId="3" applyFont="1" applyFill="1" applyBorder="1" applyAlignment="1">
      <alignment horizontal="center" vertical="center" wrapText="1"/>
    </xf>
    <xf numFmtId="9" fontId="3" fillId="0" borderId="0" xfId="3" applyFont="1" applyAlignment="1">
      <alignment horizontal="center" vertical="center" wrapText="1"/>
    </xf>
    <xf numFmtId="0" fontId="3" fillId="11" borderId="1" xfId="0" applyFont="1" applyFill="1" applyBorder="1" applyAlignment="1">
      <alignment horizontal="left" vertical="top" wrapText="1"/>
    </xf>
    <xf numFmtId="13" fontId="3" fillId="0" borderId="1" xfId="3"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9" fontId="3" fillId="0" borderId="14" xfId="0" applyNumberFormat="1" applyFont="1" applyFill="1" applyBorder="1" applyAlignment="1">
      <alignment horizontal="center" vertical="center" wrapText="1"/>
    </xf>
    <xf numFmtId="9" fontId="6" fillId="0" borderId="15" xfId="0" applyNumberFormat="1" applyFont="1" applyFill="1" applyBorder="1" applyAlignment="1">
      <alignment horizontal="center" vertical="center" wrapText="1"/>
    </xf>
    <xf numFmtId="0" fontId="7" fillId="0" borderId="15" xfId="0" applyFont="1" applyFill="1" applyBorder="1" applyAlignment="1">
      <alignment horizontal="center" vertical="center" wrapText="1"/>
    </xf>
    <xf numFmtId="0" fontId="3" fillId="0" borderId="0" xfId="0" applyFont="1" applyAlignment="1">
      <alignment horizontal="left"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166" fontId="3" fillId="0" borderId="5" xfId="2" applyNumberFormat="1" applyFont="1" applyFill="1" applyBorder="1" applyAlignment="1">
      <alignment horizontal="center" vertical="center" wrapText="1"/>
    </xf>
    <xf numFmtId="166" fontId="3" fillId="0" borderId="6" xfId="2" applyNumberFormat="1" applyFont="1" applyFill="1" applyBorder="1" applyAlignment="1">
      <alignment horizontal="center" vertical="center" wrapText="1"/>
    </xf>
    <xf numFmtId="166" fontId="3" fillId="0" borderId="7" xfId="2"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5" xfId="0" applyFont="1" applyFill="1" applyBorder="1" applyAlignment="1">
      <alignment horizontal="left" vertical="center" wrapText="1"/>
    </xf>
    <xf numFmtId="0" fontId="2" fillId="4" borderId="7" xfId="0" applyFont="1" applyFill="1" applyBorder="1" applyAlignment="1">
      <alignment horizontal="left"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167" fontId="3" fillId="0" borderId="5" xfId="0" applyNumberFormat="1" applyFont="1" applyFill="1" applyBorder="1" applyAlignment="1">
      <alignment horizontal="center" vertical="center" wrapText="1"/>
    </xf>
    <xf numFmtId="167" fontId="3" fillId="0" borderId="6" xfId="0" applyNumberFormat="1" applyFont="1" applyFill="1" applyBorder="1" applyAlignment="1">
      <alignment horizontal="center" vertical="center" wrapText="1"/>
    </xf>
    <xf numFmtId="167" fontId="3" fillId="0" borderId="7"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5">
    <cellStyle name="Millares" xfId="1" builtinId="3"/>
    <cellStyle name="Moneda" xfId="2" builtinId="4"/>
    <cellStyle name="Normal" xfId="0" builtinId="0"/>
    <cellStyle name="Normal 2" xfId="4" xr:uid="{00000000-0005-0000-0000-00000300000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396790</xdr:colOff>
      <xdr:row>0</xdr:row>
      <xdr:rowOff>266700</xdr:rowOff>
    </xdr:from>
    <xdr:to>
      <xdr:col>0</xdr:col>
      <xdr:colOff>1690687</xdr:colOff>
      <xdr:row>3</xdr:row>
      <xdr:rowOff>218815</xdr:rowOff>
    </xdr:to>
    <xdr:pic>
      <xdr:nvPicPr>
        <xdr:cNvPr id="2" name="Imagen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a:clrChange>
            <a:clrFrom>
              <a:srgbClr val="FFFFFF"/>
            </a:clrFrom>
            <a:clrTo>
              <a:srgbClr val="FFFFFF">
                <a:alpha val="0"/>
              </a:srgbClr>
            </a:clrTo>
          </a:clrChange>
        </a:blip>
        <a:srcRect l="83472" t="30865" r="3032" b="46180"/>
        <a:stretch/>
      </xdr:blipFill>
      <xdr:spPr bwMode="auto">
        <a:xfrm>
          <a:off x="396790" y="266700"/>
          <a:ext cx="1293897" cy="1138237"/>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114"/>
  <sheetViews>
    <sheetView tabSelected="1" view="pageBreakPreview" zoomScale="55" zoomScaleNormal="55" zoomScaleSheetLayoutView="55" workbookViewId="0">
      <selection activeCell="V74" sqref="V74"/>
    </sheetView>
  </sheetViews>
  <sheetFormatPr baseColWidth="10" defaultColWidth="11.42578125" defaultRowHeight="15" x14ac:dyDescent="0.25"/>
  <cols>
    <col min="1" max="1" width="27.140625" style="48" customWidth="1"/>
    <col min="2" max="2" width="9.85546875" style="48" customWidth="1"/>
    <col min="3" max="3" width="48.140625" style="44" customWidth="1"/>
    <col min="4" max="4" width="41.7109375" style="69" customWidth="1"/>
    <col min="5" max="5" width="28.7109375" style="48" customWidth="1"/>
    <col min="6" max="6" width="48.140625" style="48" hidden="1" customWidth="1"/>
    <col min="7" max="7" width="15.42578125" style="48" bestFit="1" customWidth="1"/>
    <col min="8" max="9" width="2.42578125" style="44" hidden="1" customWidth="1"/>
    <col min="10" max="10" width="3.140625" style="44" hidden="1" customWidth="1"/>
    <col min="11" max="11" width="2.42578125" style="44" hidden="1" customWidth="1"/>
    <col min="12" max="12" width="3.140625" style="44" hidden="1" customWidth="1"/>
    <col min="13" max="14" width="2.28515625" style="44" hidden="1" customWidth="1"/>
    <col min="15" max="16" width="2.42578125" style="44" hidden="1" customWidth="1"/>
    <col min="17" max="19" width="2.7109375" style="44" hidden="1" customWidth="1"/>
    <col min="20" max="20" width="40.42578125" style="44" hidden="1" customWidth="1"/>
    <col min="21" max="21" width="24.5703125" style="48" customWidth="1"/>
    <col min="22" max="22" width="36" style="48" customWidth="1"/>
    <col min="23" max="23" width="57.42578125" style="48" customWidth="1"/>
    <col min="24" max="24" width="21" style="48" customWidth="1"/>
    <col min="25" max="25" width="36.7109375" style="48" customWidth="1"/>
    <col min="26" max="26" width="57.42578125" style="48" customWidth="1"/>
    <col min="27" max="27" width="21" style="48" hidden="1" customWidth="1"/>
    <col min="28" max="28" width="40.7109375" style="48" hidden="1" customWidth="1"/>
    <col min="29" max="29" width="57.42578125" style="48" hidden="1" customWidth="1"/>
    <col min="30" max="30" width="21" style="48" hidden="1" customWidth="1"/>
    <col min="31" max="31" width="34.85546875" style="48" hidden="1" customWidth="1"/>
    <col min="32" max="32" width="57.42578125" style="48" hidden="1" customWidth="1"/>
    <col min="33" max="33" width="19.42578125" style="44" customWidth="1"/>
    <col min="34" max="34" width="13.5703125" style="48" bestFit="1" customWidth="1"/>
    <col min="35" max="35" width="14.28515625" style="48" bestFit="1" customWidth="1"/>
    <col min="36" max="36" width="14.42578125" style="48" bestFit="1" customWidth="1"/>
    <col min="37" max="37" width="27.42578125" style="48" customWidth="1"/>
    <col min="38" max="38" width="14.7109375" style="48" bestFit="1" customWidth="1"/>
    <col min="39" max="16384" width="11.42578125" style="48"/>
  </cols>
  <sheetData>
    <row r="1" spans="1:37" ht="31.5" customHeight="1" x14ac:dyDescent="0.25">
      <c r="A1" s="170"/>
      <c r="B1" s="171" t="s">
        <v>0</v>
      </c>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3"/>
      <c r="AK1" s="40" t="s">
        <v>275</v>
      </c>
    </row>
    <row r="2" spans="1:37" ht="31.5" customHeight="1" x14ac:dyDescent="0.25">
      <c r="A2" s="170"/>
      <c r="B2" s="174"/>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6"/>
      <c r="AK2" s="40" t="s">
        <v>1</v>
      </c>
    </row>
    <row r="3" spans="1:37" ht="31.5" customHeight="1" x14ac:dyDescent="0.25">
      <c r="A3" s="170"/>
      <c r="B3" s="177" t="s">
        <v>2</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9"/>
      <c r="AK3" s="40" t="s">
        <v>3</v>
      </c>
    </row>
    <row r="4" spans="1:37" ht="31.5" customHeight="1" x14ac:dyDescent="0.25">
      <c r="A4" s="170"/>
      <c r="B4" s="177" t="s">
        <v>173</v>
      </c>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9"/>
      <c r="AK4" s="40" t="s">
        <v>4</v>
      </c>
    </row>
    <row r="5" spans="1:37" ht="13.5" customHeight="1" x14ac:dyDescent="0.25">
      <c r="A5" s="180"/>
      <c r="B5" s="181"/>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2"/>
    </row>
    <row r="6" spans="1:37" ht="36.75" customHeight="1" x14ac:dyDescent="0.25">
      <c r="A6" s="183" t="s">
        <v>5</v>
      </c>
      <c r="B6" s="184"/>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5"/>
    </row>
    <row r="7" spans="1:37" ht="46.5" customHeight="1" x14ac:dyDescent="0.25">
      <c r="A7" s="147" t="s">
        <v>5</v>
      </c>
      <c r="B7" s="157" t="s">
        <v>6</v>
      </c>
      <c r="C7" s="157" t="s">
        <v>148</v>
      </c>
      <c r="D7" s="159" t="s">
        <v>7</v>
      </c>
      <c r="E7" s="157" t="s">
        <v>8</v>
      </c>
      <c r="F7" s="157" t="s">
        <v>9</v>
      </c>
      <c r="G7" s="157" t="s">
        <v>10</v>
      </c>
      <c r="H7" s="154" t="s">
        <v>11</v>
      </c>
      <c r="I7" s="155"/>
      <c r="J7" s="155"/>
      <c r="K7" s="155"/>
      <c r="L7" s="155"/>
      <c r="M7" s="155"/>
      <c r="N7" s="155"/>
      <c r="O7" s="155"/>
      <c r="P7" s="155"/>
      <c r="Q7" s="155"/>
      <c r="R7" s="155"/>
      <c r="S7" s="156"/>
      <c r="T7" s="157" t="s">
        <v>12</v>
      </c>
      <c r="U7" s="154" t="s">
        <v>13</v>
      </c>
      <c r="V7" s="155"/>
      <c r="W7" s="156"/>
      <c r="X7" s="154" t="s">
        <v>14</v>
      </c>
      <c r="Y7" s="155"/>
      <c r="Z7" s="156"/>
      <c r="AA7" s="154" t="s">
        <v>15</v>
      </c>
      <c r="AB7" s="155"/>
      <c r="AC7" s="156"/>
      <c r="AD7" s="154" t="s">
        <v>16</v>
      </c>
      <c r="AE7" s="155"/>
      <c r="AF7" s="156"/>
      <c r="AG7" s="154" t="s">
        <v>17</v>
      </c>
      <c r="AH7" s="155"/>
      <c r="AI7" s="155"/>
      <c r="AJ7" s="155"/>
      <c r="AK7" s="156"/>
    </row>
    <row r="8" spans="1:37" s="44" customFormat="1" ht="39.75" customHeight="1" x14ac:dyDescent="0.25">
      <c r="A8" s="147"/>
      <c r="B8" s="158"/>
      <c r="C8" s="158"/>
      <c r="D8" s="160"/>
      <c r="E8" s="158"/>
      <c r="F8" s="158"/>
      <c r="G8" s="158"/>
      <c r="H8" s="54" t="s">
        <v>18</v>
      </c>
      <c r="I8" s="54" t="s">
        <v>19</v>
      </c>
      <c r="J8" s="54" t="s">
        <v>20</v>
      </c>
      <c r="K8" s="54" t="s">
        <v>21</v>
      </c>
      <c r="L8" s="54" t="s">
        <v>20</v>
      </c>
      <c r="M8" s="54" t="s">
        <v>22</v>
      </c>
      <c r="N8" s="54" t="s">
        <v>22</v>
      </c>
      <c r="O8" s="54" t="s">
        <v>21</v>
      </c>
      <c r="P8" s="54" t="s">
        <v>23</v>
      </c>
      <c r="Q8" s="54" t="s">
        <v>24</v>
      </c>
      <c r="R8" s="54" t="s">
        <v>25</v>
      </c>
      <c r="S8" s="54" t="s">
        <v>26</v>
      </c>
      <c r="T8" s="158"/>
      <c r="U8" s="54" t="s">
        <v>27</v>
      </c>
      <c r="V8" s="54" t="s">
        <v>28</v>
      </c>
      <c r="W8" s="54" t="s">
        <v>29</v>
      </c>
      <c r="X8" s="54" t="s">
        <v>30</v>
      </c>
      <c r="Y8" s="54" t="s">
        <v>31</v>
      </c>
      <c r="Z8" s="54" t="s">
        <v>32</v>
      </c>
      <c r="AA8" s="54" t="s">
        <v>33</v>
      </c>
      <c r="AB8" s="54" t="s">
        <v>34</v>
      </c>
      <c r="AC8" s="54" t="s">
        <v>35</v>
      </c>
      <c r="AD8" s="54" t="s">
        <v>36</v>
      </c>
      <c r="AE8" s="54" t="s">
        <v>37</v>
      </c>
      <c r="AF8" s="54" t="s">
        <v>38</v>
      </c>
      <c r="AG8" s="54" t="s">
        <v>39</v>
      </c>
      <c r="AH8" s="54" t="s">
        <v>40</v>
      </c>
      <c r="AI8" s="54" t="s">
        <v>41</v>
      </c>
      <c r="AJ8" s="54" t="s">
        <v>42</v>
      </c>
      <c r="AK8" s="54" t="s">
        <v>174</v>
      </c>
    </row>
    <row r="9" spans="1:37" ht="60" customHeight="1" x14ac:dyDescent="0.25">
      <c r="A9" s="147"/>
      <c r="B9" s="16">
        <v>1</v>
      </c>
      <c r="C9" s="144" t="s">
        <v>146</v>
      </c>
      <c r="D9" s="38" t="s">
        <v>145</v>
      </c>
      <c r="E9" s="148">
        <v>40000000</v>
      </c>
      <c r="F9" s="3" t="s">
        <v>177</v>
      </c>
      <c r="G9" s="27">
        <v>1</v>
      </c>
      <c r="H9" s="51"/>
      <c r="I9" s="3"/>
      <c r="J9" s="3"/>
      <c r="K9" s="3"/>
      <c r="L9" s="3"/>
      <c r="M9" s="3"/>
      <c r="N9" s="51"/>
      <c r="O9" s="39"/>
      <c r="P9" s="3"/>
      <c r="Q9" s="3"/>
      <c r="R9" s="3"/>
      <c r="S9" s="3"/>
      <c r="T9" s="3" t="s">
        <v>149</v>
      </c>
      <c r="U9" s="3" t="s">
        <v>298</v>
      </c>
      <c r="V9" s="3" t="s">
        <v>298</v>
      </c>
      <c r="W9" s="7" t="s">
        <v>298</v>
      </c>
      <c r="X9" s="161" t="s">
        <v>411</v>
      </c>
      <c r="Y9" s="162"/>
      <c r="Z9" s="163"/>
      <c r="AA9" s="10"/>
      <c r="AB9" s="4"/>
      <c r="AC9" s="24"/>
      <c r="AD9" s="3"/>
      <c r="AE9" s="3"/>
      <c r="AF9" s="8"/>
      <c r="AG9" s="3" t="s">
        <v>324</v>
      </c>
      <c r="AH9" s="3"/>
      <c r="AI9" s="9"/>
      <c r="AJ9" s="9"/>
      <c r="AK9" s="6">
        <f>SUM(AG9:AJ9)</f>
        <v>0</v>
      </c>
    </row>
    <row r="10" spans="1:37" ht="60" customHeight="1" x14ac:dyDescent="0.25">
      <c r="A10" s="147"/>
      <c r="B10" s="1">
        <v>2</v>
      </c>
      <c r="C10" s="151"/>
      <c r="D10" s="38" t="s">
        <v>44</v>
      </c>
      <c r="E10" s="149"/>
      <c r="F10" s="3" t="s">
        <v>178</v>
      </c>
      <c r="G10" s="27">
        <v>1</v>
      </c>
      <c r="H10" s="51"/>
      <c r="I10" s="3"/>
      <c r="J10" s="3"/>
      <c r="K10" s="3"/>
      <c r="L10" s="3"/>
      <c r="M10" s="3"/>
      <c r="N10" s="3"/>
      <c r="O10" s="3"/>
      <c r="P10" s="3"/>
      <c r="Q10" s="3"/>
      <c r="R10" s="39"/>
      <c r="S10" s="3"/>
      <c r="T10" s="3" t="s">
        <v>149</v>
      </c>
      <c r="U10" s="3" t="s">
        <v>298</v>
      </c>
      <c r="V10" s="3" t="s">
        <v>298</v>
      </c>
      <c r="W10" s="7" t="s">
        <v>298</v>
      </c>
      <c r="X10" s="161" t="s">
        <v>411</v>
      </c>
      <c r="Y10" s="162"/>
      <c r="Z10" s="163"/>
      <c r="AA10" s="3"/>
      <c r="AB10" s="3"/>
      <c r="AC10" s="24"/>
      <c r="AD10" s="22"/>
      <c r="AE10" s="3"/>
      <c r="AF10" s="8"/>
      <c r="AG10" s="3" t="s">
        <v>324</v>
      </c>
      <c r="AH10" s="3"/>
      <c r="AI10" s="9"/>
      <c r="AJ10" s="9"/>
      <c r="AK10" s="6">
        <f>AJ10</f>
        <v>0</v>
      </c>
    </row>
    <row r="11" spans="1:37" ht="60" customHeight="1" x14ac:dyDescent="0.25">
      <c r="A11" s="147"/>
      <c r="B11" s="16">
        <v>3</v>
      </c>
      <c r="C11" s="151"/>
      <c r="D11" s="38" t="s">
        <v>147</v>
      </c>
      <c r="E11" s="149"/>
      <c r="F11" s="3" t="s">
        <v>179</v>
      </c>
      <c r="G11" s="23">
        <v>1</v>
      </c>
      <c r="H11" s="51"/>
      <c r="I11" s="3"/>
      <c r="J11" s="3"/>
      <c r="K11" s="3"/>
      <c r="L11" s="3"/>
      <c r="M11" s="3"/>
      <c r="N11" s="51"/>
      <c r="O11" s="3"/>
      <c r="P11" s="3"/>
      <c r="Q11" s="28"/>
      <c r="R11" s="3"/>
      <c r="S11" s="3"/>
      <c r="T11" s="3" t="s">
        <v>149</v>
      </c>
      <c r="U11" s="3" t="s">
        <v>298</v>
      </c>
      <c r="V11" s="3" t="s">
        <v>298</v>
      </c>
      <c r="W11" s="7" t="s">
        <v>298</v>
      </c>
      <c r="X11" s="161" t="s">
        <v>411</v>
      </c>
      <c r="Y11" s="162"/>
      <c r="Z11" s="163"/>
      <c r="AA11" s="10"/>
      <c r="AB11" s="4"/>
      <c r="AC11" s="24"/>
      <c r="AD11" s="5"/>
      <c r="AE11" s="5"/>
      <c r="AF11" s="8"/>
      <c r="AG11" s="51" t="s">
        <v>324</v>
      </c>
      <c r="AH11" s="51"/>
      <c r="AI11" s="9"/>
      <c r="AJ11" s="51"/>
      <c r="AK11" s="6">
        <f>AJ11</f>
        <v>0</v>
      </c>
    </row>
    <row r="12" spans="1:37" ht="83.25" customHeight="1" x14ac:dyDescent="0.25">
      <c r="A12" s="147"/>
      <c r="B12" s="1">
        <v>4</v>
      </c>
      <c r="C12" s="145"/>
      <c r="D12" s="38" t="s">
        <v>175</v>
      </c>
      <c r="E12" s="150"/>
      <c r="F12" s="3" t="s">
        <v>176</v>
      </c>
      <c r="G12" s="129">
        <v>0.95</v>
      </c>
      <c r="H12" s="126"/>
      <c r="I12" s="126"/>
      <c r="J12" s="126"/>
      <c r="K12" s="126"/>
      <c r="L12" s="126"/>
      <c r="M12" s="126"/>
      <c r="N12" s="126"/>
      <c r="O12" s="126"/>
      <c r="P12" s="126"/>
      <c r="Q12" s="126"/>
      <c r="R12" s="126"/>
      <c r="S12" s="126"/>
      <c r="T12" s="126" t="s">
        <v>149</v>
      </c>
      <c r="U12" s="126" t="s">
        <v>299</v>
      </c>
      <c r="V12" s="101">
        <v>0.56000000000000005</v>
      </c>
      <c r="W12" s="131" t="s">
        <v>374</v>
      </c>
      <c r="X12" s="126" t="s">
        <v>412</v>
      </c>
      <c r="Y12" s="101">
        <v>0.62</v>
      </c>
      <c r="Z12" s="127" t="s">
        <v>413</v>
      </c>
      <c r="AA12" s="125"/>
      <c r="AB12" s="101"/>
      <c r="AC12" s="128"/>
      <c r="AD12" s="129"/>
      <c r="AE12" s="129"/>
      <c r="AF12" s="128"/>
      <c r="AG12" s="129">
        <f>+(0.555555555555556)*0.25</f>
        <v>0.1388888888888889</v>
      </c>
      <c r="AH12" s="129">
        <f>+(0.615384615384615)*0.25</f>
        <v>0.15384615384615374</v>
      </c>
      <c r="AI12" s="132"/>
      <c r="AJ12" s="51"/>
      <c r="AK12" s="6">
        <f>SUM(AG12:AJ12)</f>
        <v>0.29273504273504264</v>
      </c>
    </row>
    <row r="13" spans="1:37" ht="81" customHeight="1" x14ac:dyDescent="0.25">
      <c r="A13" s="147"/>
      <c r="B13" s="16">
        <v>5</v>
      </c>
      <c r="C13" s="144" t="s">
        <v>181</v>
      </c>
      <c r="D13" s="38" t="s">
        <v>180</v>
      </c>
      <c r="E13" s="164">
        <v>406000000</v>
      </c>
      <c r="F13" s="3" t="s">
        <v>172</v>
      </c>
      <c r="G13" s="4">
        <v>1</v>
      </c>
      <c r="H13" s="3"/>
      <c r="I13" s="3"/>
      <c r="J13" s="3"/>
      <c r="K13" s="3"/>
      <c r="L13" s="3"/>
      <c r="M13" s="3"/>
      <c r="N13" s="3"/>
      <c r="O13" s="3"/>
      <c r="P13" s="39"/>
      <c r="Q13" s="3"/>
      <c r="R13" s="3"/>
      <c r="S13" s="3"/>
      <c r="T13" s="3" t="s">
        <v>45</v>
      </c>
      <c r="U13" s="3" t="s">
        <v>373</v>
      </c>
      <c r="V13" s="4">
        <v>1</v>
      </c>
      <c r="W13" s="84" t="s">
        <v>300</v>
      </c>
      <c r="X13" s="3" t="s">
        <v>414</v>
      </c>
      <c r="Y13" s="4">
        <v>1</v>
      </c>
      <c r="Z13" s="3" t="s">
        <v>300</v>
      </c>
      <c r="AA13" s="10"/>
      <c r="AB13" s="11"/>
      <c r="AC13" s="38"/>
      <c r="AD13" s="3"/>
      <c r="AE13" s="12"/>
      <c r="AF13" s="41"/>
      <c r="AG13" s="4">
        <v>1</v>
      </c>
      <c r="AH13" s="3">
        <v>0</v>
      </c>
      <c r="AI13" s="9"/>
      <c r="AJ13" s="51"/>
      <c r="AK13" s="6">
        <f>SUM(AG13:AJ13)</f>
        <v>1</v>
      </c>
    </row>
    <row r="14" spans="1:37" ht="63.75" customHeight="1" x14ac:dyDescent="0.25">
      <c r="A14" s="147"/>
      <c r="B14" s="1">
        <v>6</v>
      </c>
      <c r="C14" s="151"/>
      <c r="D14" s="38" t="s">
        <v>46</v>
      </c>
      <c r="E14" s="165"/>
      <c r="F14" s="3" t="s">
        <v>150</v>
      </c>
      <c r="G14" s="4">
        <v>1</v>
      </c>
      <c r="H14" s="28"/>
      <c r="I14" s="28"/>
      <c r="J14" s="28"/>
      <c r="K14" s="28"/>
      <c r="L14" s="28"/>
      <c r="M14" s="28"/>
      <c r="N14" s="28"/>
      <c r="O14" s="28"/>
      <c r="P14" s="28"/>
      <c r="Q14" s="28"/>
      <c r="R14" s="28"/>
      <c r="S14" s="28"/>
      <c r="T14" s="3" t="s">
        <v>45</v>
      </c>
      <c r="U14" s="10" t="s">
        <v>301</v>
      </c>
      <c r="V14" s="4">
        <v>0.21</v>
      </c>
      <c r="W14" s="83" t="s">
        <v>302</v>
      </c>
      <c r="X14" s="10" t="s">
        <v>301</v>
      </c>
      <c r="Y14" s="4">
        <v>0.21</v>
      </c>
      <c r="Z14" s="13" t="s">
        <v>302</v>
      </c>
      <c r="AA14" s="10"/>
      <c r="AB14" s="4"/>
      <c r="AC14" s="67"/>
      <c r="AD14" s="3"/>
      <c r="AE14" s="12"/>
      <c r="AF14" s="14"/>
      <c r="AG14" s="11">
        <v>0.21</v>
      </c>
      <c r="AH14" s="11">
        <v>0.45</v>
      </c>
      <c r="AI14" s="17"/>
      <c r="AJ14" s="51"/>
      <c r="AK14" s="6">
        <f>SUM(AG14:AJ14)</f>
        <v>0.66</v>
      </c>
    </row>
    <row r="15" spans="1:37" ht="76.5" customHeight="1" x14ac:dyDescent="0.25">
      <c r="A15" s="147"/>
      <c r="B15" s="16">
        <v>7</v>
      </c>
      <c r="C15" s="151"/>
      <c r="D15" s="38" t="s">
        <v>183</v>
      </c>
      <c r="E15" s="165"/>
      <c r="F15" s="3" t="s">
        <v>182</v>
      </c>
      <c r="G15" s="55">
        <v>11000</v>
      </c>
      <c r="H15" s="28"/>
      <c r="I15" s="28"/>
      <c r="J15" s="28"/>
      <c r="K15" s="28"/>
      <c r="L15" s="28"/>
      <c r="M15" s="28"/>
      <c r="N15" s="28"/>
      <c r="O15" s="28"/>
      <c r="P15" s="28"/>
      <c r="Q15" s="28"/>
      <c r="R15" s="28"/>
      <c r="S15" s="28"/>
      <c r="T15" s="3" t="s">
        <v>45</v>
      </c>
      <c r="U15" s="10" t="s">
        <v>376</v>
      </c>
      <c r="V15" s="4">
        <f>1255/2750</f>
        <v>0.45636363636363636</v>
      </c>
      <c r="W15" s="83" t="s">
        <v>375</v>
      </c>
      <c r="X15" s="10" t="s">
        <v>415</v>
      </c>
      <c r="Y15" s="4">
        <v>0.11</v>
      </c>
      <c r="Z15" s="13" t="s">
        <v>416</v>
      </c>
      <c r="AA15" s="10"/>
      <c r="AB15" s="4"/>
      <c r="AC15" s="67"/>
      <c r="AD15" s="3"/>
      <c r="AE15" s="12"/>
      <c r="AF15" s="14"/>
      <c r="AG15" s="11">
        <v>0.11</v>
      </c>
      <c r="AH15" s="11">
        <v>0.247</v>
      </c>
      <c r="AI15" s="17"/>
      <c r="AJ15" s="51"/>
      <c r="AK15" s="6">
        <f t="shared" ref="AK15:AK18" si="0">SUM(AG15:AJ15)</f>
        <v>0.35699999999999998</v>
      </c>
    </row>
    <row r="16" spans="1:37" ht="102.75" customHeight="1" x14ac:dyDescent="0.25">
      <c r="A16" s="147"/>
      <c r="B16" s="1">
        <v>8</v>
      </c>
      <c r="C16" s="145"/>
      <c r="D16" s="38" t="s">
        <v>184</v>
      </c>
      <c r="E16" s="166"/>
      <c r="F16" s="3" t="s">
        <v>185</v>
      </c>
      <c r="G16" s="55">
        <v>1</v>
      </c>
      <c r="H16" s="28"/>
      <c r="I16" s="28"/>
      <c r="J16" s="28"/>
      <c r="K16" s="28"/>
      <c r="L16" s="28"/>
      <c r="M16" s="28"/>
      <c r="N16" s="3"/>
      <c r="O16" s="3"/>
      <c r="P16" s="3"/>
      <c r="Q16" s="3"/>
      <c r="R16" s="3"/>
      <c r="S16" s="3"/>
      <c r="T16" s="3" t="s">
        <v>45</v>
      </c>
      <c r="U16" s="10" t="s">
        <v>303</v>
      </c>
      <c r="V16" s="4">
        <v>0.09</v>
      </c>
      <c r="W16" s="13" t="s">
        <v>304</v>
      </c>
      <c r="X16" s="10" t="s">
        <v>303</v>
      </c>
      <c r="Y16" s="4">
        <v>0.09</v>
      </c>
      <c r="Z16" s="13" t="s">
        <v>304</v>
      </c>
      <c r="AA16" s="10"/>
      <c r="AB16" s="4"/>
      <c r="AC16" s="67"/>
      <c r="AD16" s="3"/>
      <c r="AE16" s="12"/>
      <c r="AF16" s="14"/>
      <c r="AG16" s="11">
        <v>0.09</v>
      </c>
      <c r="AH16" s="11">
        <v>0.16</v>
      </c>
      <c r="AI16" s="17"/>
      <c r="AJ16" s="51"/>
      <c r="AK16" s="6">
        <f t="shared" si="0"/>
        <v>0.25</v>
      </c>
    </row>
    <row r="17" spans="1:37" ht="113.25" customHeight="1" x14ac:dyDescent="0.25">
      <c r="A17" s="147"/>
      <c r="B17" s="16">
        <v>9</v>
      </c>
      <c r="C17" s="144" t="s">
        <v>47</v>
      </c>
      <c r="D17" s="38" t="s">
        <v>186</v>
      </c>
      <c r="E17" s="148">
        <v>90000000</v>
      </c>
      <c r="F17" s="51" t="s">
        <v>188</v>
      </c>
      <c r="G17" s="9">
        <v>1</v>
      </c>
      <c r="H17" s="28"/>
      <c r="I17" s="28"/>
      <c r="J17" s="28"/>
      <c r="K17" s="28"/>
      <c r="L17" s="28"/>
      <c r="M17" s="28"/>
      <c r="N17" s="28"/>
      <c r="O17" s="28"/>
      <c r="P17" s="28"/>
      <c r="Q17" s="28"/>
      <c r="R17" s="28"/>
      <c r="S17" s="28"/>
      <c r="T17" s="3" t="s">
        <v>48</v>
      </c>
      <c r="U17" s="10" t="s">
        <v>305</v>
      </c>
      <c r="V17" s="4">
        <v>0.92</v>
      </c>
      <c r="W17" s="7" t="s">
        <v>306</v>
      </c>
      <c r="X17" s="10" t="s">
        <v>417</v>
      </c>
      <c r="Y17" s="4">
        <v>1</v>
      </c>
      <c r="Z17" s="96" t="s">
        <v>418</v>
      </c>
      <c r="AA17" s="10"/>
      <c r="AB17" s="4"/>
      <c r="AC17" s="40"/>
      <c r="AD17" s="45"/>
      <c r="AE17" s="12"/>
      <c r="AF17" s="8"/>
      <c r="AG17" s="11">
        <v>1</v>
      </c>
      <c r="AH17" s="11">
        <v>1</v>
      </c>
      <c r="AI17" s="17"/>
      <c r="AJ17" s="51"/>
      <c r="AK17" s="6">
        <f t="shared" si="0"/>
        <v>2</v>
      </c>
    </row>
    <row r="18" spans="1:37" ht="113.25" customHeight="1" x14ac:dyDescent="0.25">
      <c r="A18" s="147"/>
      <c r="B18" s="1">
        <v>10</v>
      </c>
      <c r="C18" s="145"/>
      <c r="D18" s="38" t="s">
        <v>128</v>
      </c>
      <c r="E18" s="150"/>
      <c r="F18" s="51" t="s">
        <v>187</v>
      </c>
      <c r="G18" s="9">
        <v>1</v>
      </c>
      <c r="H18" s="51"/>
      <c r="I18" s="28"/>
      <c r="J18" s="28"/>
      <c r="K18" s="28"/>
      <c r="L18" s="28"/>
      <c r="M18" s="28"/>
      <c r="N18" s="28"/>
      <c r="O18" s="28"/>
      <c r="P18" s="28"/>
      <c r="Q18" s="28"/>
      <c r="R18" s="28"/>
      <c r="S18" s="28"/>
      <c r="T18" s="3" t="s">
        <v>48</v>
      </c>
      <c r="U18" s="10" t="s">
        <v>307</v>
      </c>
      <c r="V18" s="4">
        <v>1</v>
      </c>
      <c r="W18" s="7" t="s">
        <v>308</v>
      </c>
      <c r="X18" s="10" t="s">
        <v>419</v>
      </c>
      <c r="Y18" s="4">
        <v>0.9</v>
      </c>
      <c r="Z18" s="97" t="s">
        <v>420</v>
      </c>
      <c r="AA18" s="10"/>
      <c r="AB18" s="4"/>
      <c r="AC18" s="40"/>
      <c r="AD18" s="45"/>
      <c r="AE18" s="45"/>
      <c r="AF18" s="5"/>
      <c r="AG18" s="11">
        <v>1</v>
      </c>
      <c r="AH18" s="11">
        <v>0.9</v>
      </c>
      <c r="AI18" s="17"/>
      <c r="AJ18" s="20"/>
      <c r="AK18" s="6">
        <f t="shared" si="0"/>
        <v>1.9</v>
      </c>
    </row>
    <row r="19" spans="1:37" ht="51" customHeight="1" x14ac:dyDescent="0.25">
      <c r="A19" s="138" t="s">
        <v>90</v>
      </c>
      <c r="B19" s="139"/>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40"/>
    </row>
    <row r="20" spans="1:37" ht="51.75" customHeight="1" x14ac:dyDescent="0.25">
      <c r="A20" s="141" t="s">
        <v>90</v>
      </c>
      <c r="B20" s="157" t="s">
        <v>6</v>
      </c>
      <c r="C20" s="157" t="s">
        <v>148</v>
      </c>
      <c r="D20" s="157" t="s">
        <v>7</v>
      </c>
      <c r="E20" s="157" t="s">
        <v>8</v>
      </c>
      <c r="F20" s="157" t="s">
        <v>9</v>
      </c>
      <c r="G20" s="157" t="s">
        <v>10</v>
      </c>
      <c r="H20" s="154" t="s">
        <v>11</v>
      </c>
      <c r="I20" s="155"/>
      <c r="J20" s="155"/>
      <c r="K20" s="155"/>
      <c r="L20" s="155"/>
      <c r="M20" s="155"/>
      <c r="N20" s="155"/>
      <c r="O20" s="155"/>
      <c r="P20" s="155"/>
      <c r="Q20" s="155"/>
      <c r="R20" s="155"/>
      <c r="S20" s="156"/>
      <c r="T20" s="157" t="s">
        <v>12</v>
      </c>
      <c r="U20" s="154" t="s">
        <v>13</v>
      </c>
      <c r="V20" s="155"/>
      <c r="W20" s="156"/>
      <c r="X20" s="154" t="s">
        <v>14</v>
      </c>
      <c r="Y20" s="155"/>
      <c r="Z20" s="156"/>
      <c r="AA20" s="154" t="s">
        <v>15</v>
      </c>
      <c r="AB20" s="155"/>
      <c r="AC20" s="156"/>
      <c r="AD20" s="154" t="s">
        <v>16</v>
      </c>
      <c r="AE20" s="155"/>
      <c r="AF20" s="156"/>
      <c r="AG20" s="154" t="s">
        <v>17</v>
      </c>
      <c r="AH20" s="155"/>
      <c r="AI20" s="155"/>
      <c r="AJ20" s="155"/>
      <c r="AK20" s="156"/>
    </row>
    <row r="21" spans="1:37" ht="43.5" customHeight="1" x14ac:dyDescent="0.25">
      <c r="A21" s="142"/>
      <c r="B21" s="158"/>
      <c r="C21" s="158"/>
      <c r="D21" s="158"/>
      <c r="E21" s="158"/>
      <c r="F21" s="158"/>
      <c r="G21" s="158"/>
      <c r="H21" s="54" t="s">
        <v>18</v>
      </c>
      <c r="I21" s="54" t="s">
        <v>19</v>
      </c>
      <c r="J21" s="54" t="s">
        <v>20</v>
      </c>
      <c r="K21" s="54" t="s">
        <v>21</v>
      </c>
      <c r="L21" s="54" t="s">
        <v>20</v>
      </c>
      <c r="M21" s="54" t="s">
        <v>22</v>
      </c>
      <c r="N21" s="54" t="s">
        <v>22</v>
      </c>
      <c r="O21" s="54" t="s">
        <v>21</v>
      </c>
      <c r="P21" s="54" t="s">
        <v>23</v>
      </c>
      <c r="Q21" s="54" t="s">
        <v>24</v>
      </c>
      <c r="R21" s="54" t="s">
        <v>25</v>
      </c>
      <c r="S21" s="54" t="s">
        <v>26</v>
      </c>
      <c r="T21" s="158"/>
      <c r="U21" s="54" t="s">
        <v>27</v>
      </c>
      <c r="V21" s="54" t="s">
        <v>28</v>
      </c>
      <c r="W21" s="54" t="s">
        <v>29</v>
      </c>
      <c r="X21" s="54" t="s">
        <v>30</v>
      </c>
      <c r="Y21" s="54" t="s">
        <v>31</v>
      </c>
      <c r="Z21" s="54" t="s">
        <v>32</v>
      </c>
      <c r="AA21" s="54" t="s">
        <v>33</v>
      </c>
      <c r="AB21" s="54" t="s">
        <v>34</v>
      </c>
      <c r="AC21" s="54" t="s">
        <v>35</v>
      </c>
      <c r="AD21" s="54" t="s">
        <v>36</v>
      </c>
      <c r="AE21" s="54" t="s">
        <v>37</v>
      </c>
      <c r="AF21" s="54" t="s">
        <v>38</v>
      </c>
      <c r="AG21" s="54" t="s">
        <v>39</v>
      </c>
      <c r="AH21" s="54" t="s">
        <v>40</v>
      </c>
      <c r="AI21" s="54" t="s">
        <v>41</v>
      </c>
      <c r="AJ21" s="54" t="s">
        <v>42</v>
      </c>
      <c r="AK21" s="54" t="s">
        <v>174</v>
      </c>
    </row>
    <row r="22" spans="1:37" ht="97.5" customHeight="1" x14ac:dyDescent="0.25">
      <c r="A22" s="142"/>
      <c r="B22" s="1">
        <v>1</v>
      </c>
      <c r="C22" s="51" t="s">
        <v>92</v>
      </c>
      <c r="D22" s="38" t="s">
        <v>91</v>
      </c>
      <c r="E22" s="17" t="s">
        <v>43</v>
      </c>
      <c r="F22" s="51" t="s">
        <v>151</v>
      </c>
      <c r="G22" s="51">
        <v>12</v>
      </c>
      <c r="H22" s="28"/>
      <c r="I22" s="28"/>
      <c r="J22" s="28"/>
      <c r="K22" s="28"/>
      <c r="L22" s="28"/>
      <c r="M22" s="28"/>
      <c r="N22" s="28"/>
      <c r="O22" s="28"/>
      <c r="P22" s="28"/>
      <c r="Q22" s="28"/>
      <c r="R22" s="28"/>
      <c r="S22" s="28"/>
      <c r="T22" s="3" t="s">
        <v>279</v>
      </c>
      <c r="U22" s="71" t="s">
        <v>309</v>
      </c>
      <c r="V22" s="4">
        <v>1</v>
      </c>
      <c r="W22" s="72" t="s">
        <v>310</v>
      </c>
      <c r="X22" s="71" t="s">
        <v>421</v>
      </c>
      <c r="Y22" s="4">
        <f>6/12</f>
        <v>0.5</v>
      </c>
      <c r="Z22" s="72" t="s">
        <v>422</v>
      </c>
      <c r="AA22" s="18"/>
      <c r="AB22" s="4"/>
      <c r="AC22" s="2"/>
      <c r="AD22" s="51"/>
      <c r="AE22" s="3"/>
      <c r="AF22" s="3"/>
      <c r="AG22" s="17">
        <v>0.25</v>
      </c>
      <c r="AH22" s="4">
        <v>0.25</v>
      </c>
      <c r="AI22" s="4"/>
      <c r="AJ22" s="51"/>
      <c r="AK22" s="6">
        <f>SUM(AG22:AJ22)</f>
        <v>0.5</v>
      </c>
    </row>
    <row r="23" spans="1:37" ht="130.5" customHeight="1" x14ac:dyDescent="0.25">
      <c r="A23" s="142"/>
      <c r="B23" s="1">
        <v>2</v>
      </c>
      <c r="C23" s="51" t="s">
        <v>264</v>
      </c>
      <c r="D23" s="38" t="s">
        <v>263</v>
      </c>
      <c r="E23" s="148">
        <v>120000000</v>
      </c>
      <c r="F23" s="51" t="s">
        <v>265</v>
      </c>
      <c r="G23" s="51" t="s">
        <v>266</v>
      </c>
      <c r="H23" s="28"/>
      <c r="I23" s="28"/>
      <c r="J23" s="28"/>
      <c r="K23" s="28"/>
      <c r="L23" s="28"/>
      <c r="M23" s="28"/>
      <c r="N23" s="28"/>
      <c r="O23" s="28"/>
      <c r="P23" s="28"/>
      <c r="Q23" s="28"/>
      <c r="R23" s="28"/>
      <c r="S23" s="28"/>
      <c r="T23" s="3" t="s">
        <v>279</v>
      </c>
      <c r="U23" s="71" t="s">
        <v>311</v>
      </c>
      <c r="V23" s="5">
        <f>10/10</f>
        <v>1</v>
      </c>
      <c r="W23" s="19" t="s">
        <v>312</v>
      </c>
      <c r="X23" s="10" t="s">
        <v>423</v>
      </c>
      <c r="Y23" s="4">
        <f>29/47</f>
        <v>0.61702127659574468</v>
      </c>
      <c r="Z23" s="19" t="s">
        <v>424</v>
      </c>
      <c r="AA23" s="51"/>
      <c r="AB23" s="5"/>
      <c r="AC23" s="19"/>
      <c r="AD23" s="51"/>
      <c r="AE23" s="5"/>
      <c r="AF23" s="5"/>
      <c r="AG23" s="32">
        <v>0.25</v>
      </c>
      <c r="AH23" s="5">
        <f>+(0.617021276595745)*0.25</f>
        <v>0.15425531914893625</v>
      </c>
      <c r="AI23" s="4"/>
      <c r="AJ23" s="3"/>
      <c r="AK23" s="6">
        <f t="shared" ref="AK23:AK36" si="1">SUM(AG23:AJ23)</f>
        <v>0.40425531914893625</v>
      </c>
    </row>
    <row r="24" spans="1:37" ht="130.5" customHeight="1" x14ac:dyDescent="0.25">
      <c r="A24" s="142"/>
      <c r="B24" s="1">
        <v>3</v>
      </c>
      <c r="C24" s="51" t="s">
        <v>93</v>
      </c>
      <c r="D24" s="38" t="s">
        <v>260</v>
      </c>
      <c r="E24" s="150"/>
      <c r="F24" s="51" t="s">
        <v>261</v>
      </c>
      <c r="G24" s="51" t="s">
        <v>262</v>
      </c>
      <c r="H24" s="28"/>
      <c r="I24" s="28"/>
      <c r="J24" s="28"/>
      <c r="K24" s="28"/>
      <c r="L24" s="28"/>
      <c r="M24" s="28"/>
      <c r="N24" s="28"/>
      <c r="O24" s="28"/>
      <c r="P24" s="28"/>
      <c r="Q24" s="28"/>
      <c r="R24" s="28"/>
      <c r="S24" s="28"/>
      <c r="T24" s="3" t="s">
        <v>279</v>
      </c>
      <c r="U24" s="71" t="s">
        <v>313</v>
      </c>
      <c r="V24" s="5">
        <f>104/50</f>
        <v>2.08</v>
      </c>
      <c r="W24" s="19" t="s">
        <v>314</v>
      </c>
      <c r="X24" s="10" t="s">
        <v>425</v>
      </c>
      <c r="Y24" s="4">
        <f>171/300</f>
        <v>0.56999999999999995</v>
      </c>
      <c r="Z24" s="19" t="s">
        <v>426</v>
      </c>
      <c r="AA24" s="17"/>
      <c r="AB24" s="4"/>
      <c r="AC24" s="25"/>
      <c r="AD24" s="51"/>
      <c r="AE24" s="5"/>
      <c r="AF24" s="5"/>
      <c r="AG24" s="5">
        <f>(104/50)*0.25</f>
        <v>0.52</v>
      </c>
      <c r="AH24" s="5">
        <f>+(0.57)*0.25</f>
        <v>0.14249999999999999</v>
      </c>
      <c r="AI24" s="4"/>
      <c r="AJ24" s="20"/>
      <c r="AK24" s="6">
        <f t="shared" si="1"/>
        <v>0.66249999999999998</v>
      </c>
    </row>
    <row r="25" spans="1:37" ht="44.25" customHeight="1" x14ac:dyDescent="0.25">
      <c r="A25" s="142"/>
      <c r="B25" s="1">
        <v>4</v>
      </c>
      <c r="C25" s="144" t="s">
        <v>133</v>
      </c>
      <c r="D25" s="38" t="s">
        <v>267</v>
      </c>
      <c r="E25" s="148">
        <v>139308154</v>
      </c>
      <c r="F25" s="51" t="s">
        <v>268</v>
      </c>
      <c r="G25" s="3">
        <v>1</v>
      </c>
      <c r="H25" s="3"/>
      <c r="I25" s="28"/>
      <c r="J25" s="3"/>
      <c r="K25" s="3"/>
      <c r="L25" s="3"/>
      <c r="M25" s="3"/>
      <c r="N25" s="3"/>
      <c r="O25" s="3"/>
      <c r="P25" s="3"/>
      <c r="Q25" s="3"/>
      <c r="R25" s="3"/>
      <c r="S25" s="3"/>
      <c r="T25" s="51" t="s">
        <v>280</v>
      </c>
      <c r="U25" s="11">
        <v>1</v>
      </c>
      <c r="V25" s="5">
        <v>1</v>
      </c>
      <c r="W25" s="7" t="s">
        <v>315</v>
      </c>
      <c r="X25" s="4">
        <v>1</v>
      </c>
      <c r="Y25" s="5">
        <v>1</v>
      </c>
      <c r="Z25" s="12"/>
      <c r="AA25" s="17"/>
      <c r="AB25" s="46"/>
      <c r="AC25" s="40"/>
      <c r="AD25" s="17"/>
      <c r="AE25" s="40"/>
      <c r="AF25" s="40"/>
      <c r="AG25" s="5">
        <v>0.25</v>
      </c>
      <c r="AH25" s="9">
        <v>0.25</v>
      </c>
      <c r="AI25" s="4"/>
      <c r="AJ25" s="4"/>
      <c r="AK25" s="6">
        <f t="shared" si="1"/>
        <v>0.5</v>
      </c>
    </row>
    <row r="26" spans="1:37" ht="64.5" customHeight="1" x14ac:dyDescent="0.25">
      <c r="A26" s="142"/>
      <c r="B26" s="1">
        <v>5</v>
      </c>
      <c r="C26" s="151"/>
      <c r="D26" s="38" t="s">
        <v>134</v>
      </c>
      <c r="E26" s="149"/>
      <c r="F26" s="51" t="s">
        <v>137</v>
      </c>
      <c r="G26" s="17">
        <v>1</v>
      </c>
      <c r="H26" s="3"/>
      <c r="I26" s="28"/>
      <c r="J26" s="28"/>
      <c r="K26" s="28"/>
      <c r="L26" s="28"/>
      <c r="M26" s="28"/>
      <c r="N26" s="28"/>
      <c r="O26" s="28"/>
      <c r="P26" s="28"/>
      <c r="Q26" s="28"/>
      <c r="R26" s="28"/>
      <c r="S26" s="28"/>
      <c r="T26" s="51" t="s">
        <v>280</v>
      </c>
      <c r="U26" s="71" t="s">
        <v>316</v>
      </c>
      <c r="V26" s="5">
        <v>1</v>
      </c>
      <c r="W26" s="76" t="s">
        <v>317</v>
      </c>
      <c r="X26" s="10" t="s">
        <v>427</v>
      </c>
      <c r="Y26" s="5">
        <v>1</v>
      </c>
      <c r="Z26" s="12" t="s">
        <v>428</v>
      </c>
      <c r="AA26" s="17"/>
      <c r="AB26" s="46"/>
      <c r="AC26" s="40"/>
      <c r="AD26" s="17"/>
      <c r="AE26" s="40"/>
      <c r="AF26" s="40"/>
      <c r="AG26" s="5">
        <v>0.25</v>
      </c>
      <c r="AH26" s="9">
        <v>0.25</v>
      </c>
      <c r="AI26" s="4"/>
      <c r="AJ26" s="4"/>
      <c r="AK26" s="6">
        <f t="shared" si="1"/>
        <v>0.5</v>
      </c>
    </row>
    <row r="27" spans="1:37" ht="64.5" customHeight="1" x14ac:dyDescent="0.25">
      <c r="A27" s="142"/>
      <c r="B27" s="1">
        <v>6</v>
      </c>
      <c r="C27" s="145"/>
      <c r="D27" s="38" t="s">
        <v>135</v>
      </c>
      <c r="E27" s="150"/>
      <c r="F27" s="51" t="s">
        <v>136</v>
      </c>
      <c r="G27" s="17">
        <v>1</v>
      </c>
      <c r="H27" s="3"/>
      <c r="I27" s="28"/>
      <c r="J27" s="28"/>
      <c r="K27" s="28"/>
      <c r="L27" s="28"/>
      <c r="M27" s="28"/>
      <c r="N27" s="28"/>
      <c r="O27" s="28"/>
      <c r="P27" s="28"/>
      <c r="Q27" s="28"/>
      <c r="R27" s="28"/>
      <c r="S27" s="28"/>
      <c r="T27" s="51" t="s">
        <v>280</v>
      </c>
      <c r="U27" s="71" t="s">
        <v>318</v>
      </c>
      <c r="V27" s="5">
        <v>1</v>
      </c>
      <c r="W27" s="76" t="s">
        <v>317</v>
      </c>
      <c r="X27" s="10" t="s">
        <v>429</v>
      </c>
      <c r="Y27" s="5">
        <v>1</v>
      </c>
      <c r="Z27" s="12" t="s">
        <v>428</v>
      </c>
      <c r="AA27" s="17"/>
      <c r="AB27" s="46"/>
      <c r="AC27" s="40"/>
      <c r="AD27" s="17"/>
      <c r="AE27" s="40"/>
      <c r="AF27" s="40"/>
      <c r="AG27" s="5">
        <v>0.25</v>
      </c>
      <c r="AH27" s="9">
        <v>0.25</v>
      </c>
      <c r="AI27" s="4"/>
      <c r="AJ27" s="4"/>
      <c r="AK27" s="6">
        <f t="shared" si="1"/>
        <v>0.5</v>
      </c>
    </row>
    <row r="28" spans="1:37" ht="64.5" customHeight="1" x14ac:dyDescent="0.25">
      <c r="A28" s="142"/>
      <c r="B28" s="1">
        <v>7</v>
      </c>
      <c r="C28" s="51" t="s">
        <v>95</v>
      </c>
      <c r="D28" s="38" t="s">
        <v>94</v>
      </c>
      <c r="E28" s="51" t="s">
        <v>43</v>
      </c>
      <c r="F28" s="51" t="s">
        <v>96</v>
      </c>
      <c r="G28" s="17">
        <v>1</v>
      </c>
      <c r="H28" s="28"/>
      <c r="I28" s="28"/>
      <c r="J28" s="28"/>
      <c r="K28" s="28"/>
      <c r="L28" s="28"/>
      <c r="M28" s="28"/>
      <c r="N28" s="28"/>
      <c r="O28" s="28"/>
      <c r="P28" s="28"/>
      <c r="Q28" s="28"/>
      <c r="R28" s="28"/>
      <c r="S28" s="28"/>
      <c r="T28" s="51" t="s">
        <v>281</v>
      </c>
      <c r="U28" s="73" t="s">
        <v>309</v>
      </c>
      <c r="V28" s="74">
        <v>1</v>
      </c>
      <c r="W28" s="84" t="s">
        <v>319</v>
      </c>
      <c r="X28" s="73" t="s">
        <v>309</v>
      </c>
      <c r="Y28" s="74">
        <f>2/2</f>
        <v>1</v>
      </c>
      <c r="Z28" s="2" t="s">
        <v>430</v>
      </c>
      <c r="AA28" s="4"/>
      <c r="AB28" s="4"/>
      <c r="AC28" s="12"/>
      <c r="AD28" s="17"/>
      <c r="AE28" s="40"/>
      <c r="AF28" s="40"/>
      <c r="AG28" s="17">
        <v>0.25</v>
      </c>
      <c r="AH28" s="4">
        <v>0.25</v>
      </c>
      <c r="AI28" s="4"/>
      <c r="AJ28" s="4"/>
      <c r="AK28" s="6">
        <f t="shared" si="1"/>
        <v>0.5</v>
      </c>
    </row>
    <row r="29" spans="1:37" ht="64.5" customHeight="1" x14ac:dyDescent="0.25">
      <c r="A29" s="142"/>
      <c r="B29" s="1">
        <v>8</v>
      </c>
      <c r="C29" s="144" t="s">
        <v>98</v>
      </c>
      <c r="D29" s="38" t="s">
        <v>97</v>
      </c>
      <c r="E29" s="63" t="s">
        <v>43</v>
      </c>
      <c r="F29" s="51" t="s">
        <v>99</v>
      </c>
      <c r="G29" s="17">
        <v>1</v>
      </c>
      <c r="H29" s="28"/>
      <c r="I29" s="28"/>
      <c r="J29" s="28"/>
      <c r="K29" s="28"/>
      <c r="L29" s="28"/>
      <c r="M29" s="28"/>
      <c r="N29" s="28"/>
      <c r="O29" s="28"/>
      <c r="P29" s="28"/>
      <c r="Q29" s="28"/>
      <c r="R29" s="28"/>
      <c r="S29" s="28"/>
      <c r="T29" s="51" t="s">
        <v>281</v>
      </c>
      <c r="U29" s="10" t="s">
        <v>320</v>
      </c>
      <c r="V29" s="4">
        <v>0.89</v>
      </c>
      <c r="W29" s="84" t="s">
        <v>321</v>
      </c>
      <c r="X29" s="10" t="s">
        <v>431</v>
      </c>
      <c r="Y29" s="98">
        <f>2553/2817</f>
        <v>0.90628328008519698</v>
      </c>
      <c r="Z29" s="2" t="s">
        <v>432</v>
      </c>
      <c r="AA29" s="4"/>
      <c r="AB29" s="4"/>
      <c r="AC29" s="2"/>
      <c r="AD29" s="17"/>
      <c r="AE29" s="40"/>
      <c r="AF29" s="51"/>
      <c r="AG29" s="17">
        <f>(2710/3041)*0.25</f>
        <v>0.2227885563959224</v>
      </c>
      <c r="AH29" s="4">
        <f>(2553/2817)*0.25</f>
        <v>0.22657082002129925</v>
      </c>
      <c r="AI29" s="4"/>
      <c r="AJ29" s="4"/>
      <c r="AK29" s="6">
        <f t="shared" si="1"/>
        <v>0.44935937641722168</v>
      </c>
    </row>
    <row r="30" spans="1:37" ht="64.5" customHeight="1" x14ac:dyDescent="0.25">
      <c r="A30" s="142"/>
      <c r="B30" s="1">
        <v>9</v>
      </c>
      <c r="C30" s="145"/>
      <c r="D30" s="38" t="s">
        <v>114</v>
      </c>
      <c r="E30" s="63" t="s">
        <v>43</v>
      </c>
      <c r="F30" s="51" t="s">
        <v>100</v>
      </c>
      <c r="G30" s="17">
        <v>1</v>
      </c>
      <c r="H30" s="28"/>
      <c r="I30" s="28"/>
      <c r="J30" s="28"/>
      <c r="K30" s="28"/>
      <c r="L30" s="28"/>
      <c r="M30" s="28"/>
      <c r="N30" s="28"/>
      <c r="O30" s="28"/>
      <c r="P30" s="28"/>
      <c r="Q30" s="28"/>
      <c r="R30" s="28"/>
      <c r="S30" s="53"/>
      <c r="T30" s="51" t="s">
        <v>281</v>
      </c>
      <c r="U30" s="10" t="s">
        <v>322</v>
      </c>
      <c r="V30" s="4">
        <v>1</v>
      </c>
      <c r="W30" s="84" t="s">
        <v>323</v>
      </c>
      <c r="X30" s="10" t="s">
        <v>433</v>
      </c>
      <c r="Y30" s="4">
        <v>1</v>
      </c>
      <c r="Z30" s="2" t="s">
        <v>434</v>
      </c>
      <c r="AA30" s="5"/>
      <c r="AB30" s="4"/>
      <c r="AC30" s="2"/>
      <c r="AD30" s="17"/>
      <c r="AE30" s="40"/>
      <c r="AF30" s="51"/>
      <c r="AG30" s="17">
        <v>0.25</v>
      </c>
      <c r="AH30" s="4">
        <v>0.25</v>
      </c>
      <c r="AI30" s="4"/>
      <c r="AJ30" s="4"/>
      <c r="AK30" s="6">
        <f t="shared" si="1"/>
        <v>0.5</v>
      </c>
    </row>
    <row r="31" spans="1:37" ht="81.75" customHeight="1" x14ac:dyDescent="0.25">
      <c r="A31" s="142"/>
      <c r="B31" s="1">
        <v>10</v>
      </c>
      <c r="C31" s="51" t="s">
        <v>115</v>
      </c>
      <c r="D31" s="38" t="s">
        <v>101</v>
      </c>
      <c r="E31" s="63" t="s">
        <v>43</v>
      </c>
      <c r="F31" s="51" t="s">
        <v>102</v>
      </c>
      <c r="G31" s="29">
        <v>2</v>
      </c>
      <c r="H31" s="3"/>
      <c r="I31" s="3"/>
      <c r="J31" s="3"/>
      <c r="K31" s="3"/>
      <c r="L31" s="3"/>
      <c r="M31" s="28"/>
      <c r="N31" s="3"/>
      <c r="O31" s="3"/>
      <c r="P31" s="3"/>
      <c r="Q31" s="3"/>
      <c r="R31" s="3"/>
      <c r="S31" s="28"/>
      <c r="T31" s="51" t="s">
        <v>282</v>
      </c>
      <c r="U31" s="11" t="s">
        <v>324</v>
      </c>
      <c r="V31" s="53" t="s">
        <v>324</v>
      </c>
      <c r="W31" s="53" t="s">
        <v>324</v>
      </c>
      <c r="X31" s="95"/>
      <c r="Y31" s="17"/>
      <c r="Z31" s="7" t="s">
        <v>435</v>
      </c>
      <c r="AA31" s="17"/>
      <c r="AB31" s="51"/>
      <c r="AC31" s="51"/>
      <c r="AD31" s="17"/>
      <c r="AE31" s="40"/>
      <c r="AF31" s="51"/>
      <c r="AG31" s="51" t="s">
        <v>324</v>
      </c>
      <c r="AH31" s="4"/>
      <c r="AI31" s="51"/>
      <c r="AJ31" s="4"/>
      <c r="AK31" s="6">
        <f t="shared" si="1"/>
        <v>0</v>
      </c>
    </row>
    <row r="32" spans="1:37" ht="123.75" customHeight="1" x14ac:dyDescent="0.25">
      <c r="A32" s="142"/>
      <c r="B32" s="1">
        <v>11</v>
      </c>
      <c r="C32" s="51" t="s">
        <v>103</v>
      </c>
      <c r="D32" s="38" t="s">
        <v>190</v>
      </c>
      <c r="E32" s="52">
        <v>53000000</v>
      </c>
      <c r="F32" s="51" t="s">
        <v>104</v>
      </c>
      <c r="G32" s="17">
        <v>0.4</v>
      </c>
      <c r="H32" s="3"/>
      <c r="I32" s="3"/>
      <c r="J32" s="28"/>
      <c r="K32" s="3"/>
      <c r="L32" s="3"/>
      <c r="M32" s="28"/>
      <c r="N32" s="3"/>
      <c r="O32" s="3"/>
      <c r="P32" s="28"/>
      <c r="Q32" s="3"/>
      <c r="R32" s="3"/>
      <c r="S32" s="28"/>
      <c r="T32" s="51" t="s">
        <v>283</v>
      </c>
      <c r="U32" s="75">
        <f>13/15</f>
        <v>0.8666666666666667</v>
      </c>
      <c r="V32" s="9">
        <f>13/15</f>
        <v>0.8666666666666667</v>
      </c>
      <c r="W32" s="76" t="s">
        <v>325</v>
      </c>
      <c r="X32" s="75">
        <f>12/15</f>
        <v>0.8</v>
      </c>
      <c r="Y32" s="9">
        <f>12/15</f>
        <v>0.8</v>
      </c>
      <c r="Z32" s="99" t="s">
        <v>436</v>
      </c>
      <c r="AA32" s="33"/>
      <c r="AB32" s="5"/>
      <c r="AC32" s="38"/>
      <c r="AD32" s="17"/>
      <c r="AE32" s="40"/>
      <c r="AF32" s="51"/>
      <c r="AG32" s="17">
        <f>(13/15)*0.25</f>
        <v>0.21666666666666667</v>
      </c>
      <c r="AH32" s="17">
        <f>+(0.8)*0.25</f>
        <v>0.2</v>
      </c>
      <c r="AI32" s="4"/>
      <c r="AJ32" s="4"/>
      <c r="AK32" s="6">
        <f t="shared" si="1"/>
        <v>0.41666666666666669</v>
      </c>
    </row>
    <row r="33" spans="1:37" ht="123.75" customHeight="1" x14ac:dyDescent="0.25">
      <c r="A33" s="142"/>
      <c r="B33" s="1">
        <v>12</v>
      </c>
      <c r="C33" s="51" t="s">
        <v>103</v>
      </c>
      <c r="D33" s="38" t="s">
        <v>191</v>
      </c>
      <c r="E33" s="52">
        <v>50000000</v>
      </c>
      <c r="F33" s="40" t="s">
        <v>105</v>
      </c>
      <c r="G33" s="17">
        <v>0.4</v>
      </c>
      <c r="H33" s="28"/>
      <c r="I33" s="28"/>
      <c r="J33" s="28"/>
      <c r="K33" s="28"/>
      <c r="L33" s="28"/>
      <c r="M33" s="28"/>
      <c r="N33" s="28"/>
      <c r="O33" s="28"/>
      <c r="P33" s="28"/>
      <c r="Q33" s="28"/>
      <c r="R33" s="28"/>
      <c r="S33" s="28"/>
      <c r="T33" s="51" t="s">
        <v>283</v>
      </c>
      <c r="U33" s="75">
        <v>0.66666666666666663</v>
      </c>
      <c r="V33" s="9">
        <f>2/3</f>
        <v>0.66666666666666663</v>
      </c>
      <c r="W33" s="76" t="s">
        <v>326</v>
      </c>
      <c r="X33" s="75">
        <v>0.66666666666666663</v>
      </c>
      <c r="Y33" s="9">
        <f>2/3</f>
        <v>0.66666666666666663</v>
      </c>
      <c r="Z33" s="7" t="s">
        <v>437</v>
      </c>
      <c r="AA33" s="33"/>
      <c r="AB33" s="17"/>
      <c r="AC33" s="38"/>
      <c r="AD33" s="17"/>
      <c r="AE33" s="40"/>
      <c r="AF33" s="51"/>
      <c r="AG33" s="17">
        <f>(2/3)*0.25</f>
        <v>0.16666666666666666</v>
      </c>
      <c r="AH33" s="17">
        <v>0.17</v>
      </c>
      <c r="AI33" s="4"/>
      <c r="AJ33" s="4"/>
      <c r="AK33" s="6">
        <f t="shared" si="1"/>
        <v>0.33666666666666667</v>
      </c>
    </row>
    <row r="34" spans="1:37" ht="124.5" customHeight="1" x14ac:dyDescent="0.25">
      <c r="A34" s="142"/>
      <c r="B34" s="1">
        <v>13</v>
      </c>
      <c r="C34" s="51" t="s">
        <v>103</v>
      </c>
      <c r="D34" s="38" t="s">
        <v>106</v>
      </c>
      <c r="E34" s="52">
        <v>107675335</v>
      </c>
      <c r="F34" s="40" t="s">
        <v>192</v>
      </c>
      <c r="G34" s="17">
        <v>1</v>
      </c>
      <c r="H34" s="28"/>
      <c r="I34" s="28"/>
      <c r="J34" s="28"/>
      <c r="K34" s="28"/>
      <c r="L34" s="28"/>
      <c r="M34" s="28"/>
      <c r="N34" s="28"/>
      <c r="O34" s="28"/>
      <c r="P34" s="28"/>
      <c r="Q34" s="28"/>
      <c r="R34" s="28"/>
      <c r="S34" s="28"/>
      <c r="T34" s="51" t="s">
        <v>283</v>
      </c>
      <c r="U34" s="75" t="str">
        <f>"11.932 / 11.932"</f>
        <v>11.932 / 11.932</v>
      </c>
      <c r="V34" s="11">
        <v>1</v>
      </c>
      <c r="W34" s="7" t="s">
        <v>327</v>
      </c>
      <c r="X34" s="11" t="str">
        <f>"19588 / 19588"</f>
        <v>19588 / 19588</v>
      </c>
      <c r="Y34" s="11">
        <f>19588/19588</f>
        <v>1</v>
      </c>
      <c r="Z34" s="7" t="s">
        <v>438</v>
      </c>
      <c r="AA34" s="17"/>
      <c r="AB34" s="9"/>
      <c r="AC34" s="40"/>
      <c r="AD34" s="17"/>
      <c r="AE34" s="40"/>
      <c r="AF34" s="51"/>
      <c r="AG34" s="17">
        <v>0.25</v>
      </c>
      <c r="AH34" s="17">
        <v>0.25</v>
      </c>
      <c r="AI34" s="4"/>
      <c r="AJ34" s="4"/>
      <c r="AK34" s="6">
        <f t="shared" si="1"/>
        <v>0.5</v>
      </c>
    </row>
    <row r="35" spans="1:37" ht="88.5" customHeight="1" x14ac:dyDescent="0.25">
      <c r="A35" s="142"/>
      <c r="B35" s="1">
        <v>14</v>
      </c>
      <c r="C35" s="51" t="s">
        <v>107</v>
      </c>
      <c r="D35" s="38" t="s">
        <v>131</v>
      </c>
      <c r="E35" s="52">
        <f>34804530+173178020</f>
        <v>207982550</v>
      </c>
      <c r="F35" s="51" t="s">
        <v>132</v>
      </c>
      <c r="G35" s="17">
        <v>1</v>
      </c>
      <c r="H35" s="28"/>
      <c r="I35" s="28"/>
      <c r="J35" s="28"/>
      <c r="K35" s="28"/>
      <c r="L35" s="28"/>
      <c r="M35" s="28"/>
      <c r="N35" s="28"/>
      <c r="O35" s="28"/>
      <c r="P35" s="28"/>
      <c r="Q35" s="28"/>
      <c r="R35" s="28"/>
      <c r="S35" s="28"/>
      <c r="T35" s="51" t="s">
        <v>108</v>
      </c>
      <c r="U35" s="75">
        <v>0.91176470588235303</v>
      </c>
      <c r="V35" s="11">
        <v>0.91</v>
      </c>
      <c r="W35" s="2" t="s">
        <v>328</v>
      </c>
      <c r="X35" s="100" t="s">
        <v>439</v>
      </c>
      <c r="Y35" s="11">
        <v>0.94</v>
      </c>
      <c r="Z35" s="2" t="s">
        <v>440</v>
      </c>
      <c r="AA35" s="18"/>
      <c r="AB35" s="17"/>
      <c r="AC35" s="2"/>
      <c r="AD35" s="41"/>
      <c r="AE35" s="51"/>
      <c r="AF35" s="3"/>
      <c r="AG35" s="17">
        <f>(31/34)*0.25</f>
        <v>0.22794117647058823</v>
      </c>
      <c r="AH35" s="17">
        <f>+(0.941176470588235)*0.25</f>
        <v>0.23529411764705882</v>
      </c>
      <c r="AI35" s="17"/>
      <c r="AJ35" s="4"/>
      <c r="AK35" s="6">
        <f t="shared" si="1"/>
        <v>0.46323529411764708</v>
      </c>
    </row>
    <row r="36" spans="1:37" ht="90" customHeight="1" x14ac:dyDescent="0.25">
      <c r="A36" s="143"/>
      <c r="B36" s="1">
        <v>15</v>
      </c>
      <c r="C36" s="51" t="s">
        <v>189</v>
      </c>
      <c r="D36" s="38" t="s">
        <v>129</v>
      </c>
      <c r="E36" s="52">
        <v>72100000</v>
      </c>
      <c r="F36" s="51" t="s">
        <v>130</v>
      </c>
      <c r="G36" s="17">
        <v>1</v>
      </c>
      <c r="H36" s="28"/>
      <c r="I36" s="28"/>
      <c r="J36" s="28"/>
      <c r="K36" s="28"/>
      <c r="L36" s="28"/>
      <c r="M36" s="28"/>
      <c r="N36" s="28"/>
      <c r="O36" s="28"/>
      <c r="P36" s="28"/>
      <c r="Q36" s="28"/>
      <c r="R36" s="28"/>
      <c r="S36" s="28"/>
      <c r="T36" s="51" t="s">
        <v>284</v>
      </c>
      <c r="U36" s="71" t="s">
        <v>329</v>
      </c>
      <c r="V36" s="4">
        <v>0.17</v>
      </c>
      <c r="W36" s="7" t="s">
        <v>330</v>
      </c>
      <c r="X36" s="71" t="s">
        <v>441</v>
      </c>
      <c r="Y36" s="4">
        <v>0.22</v>
      </c>
      <c r="Z36" s="7" t="s">
        <v>442</v>
      </c>
      <c r="AA36" s="18"/>
      <c r="AB36" s="4"/>
      <c r="AC36" s="7"/>
      <c r="AD36" s="41"/>
      <c r="AE36" s="41"/>
      <c r="AF36" s="53"/>
      <c r="AG36" s="17">
        <f>(57/65)*0.25</f>
        <v>0.21923076923076923</v>
      </c>
      <c r="AH36" s="4">
        <f>+(0.75)*0.25</f>
        <v>0.1875</v>
      </c>
      <c r="AI36" s="4"/>
      <c r="AJ36" s="4"/>
      <c r="AK36" s="6">
        <f t="shared" si="1"/>
        <v>0.40673076923076923</v>
      </c>
    </row>
    <row r="37" spans="1:37" s="44" customFormat="1" ht="45.75" customHeight="1" x14ac:dyDescent="0.25">
      <c r="A37" s="138" t="s">
        <v>109</v>
      </c>
      <c r="B37" s="139"/>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40"/>
    </row>
    <row r="38" spans="1:37" s="68" customFormat="1" ht="60" customHeight="1" x14ac:dyDescent="0.25">
      <c r="A38" s="147" t="s">
        <v>109</v>
      </c>
      <c r="B38" s="157" t="s">
        <v>6</v>
      </c>
      <c r="C38" s="157" t="s">
        <v>148</v>
      </c>
      <c r="D38" s="157" t="s">
        <v>7</v>
      </c>
      <c r="E38" s="157" t="s">
        <v>8</v>
      </c>
      <c r="F38" s="157" t="s">
        <v>9</v>
      </c>
      <c r="G38" s="157" t="s">
        <v>10</v>
      </c>
      <c r="H38" s="154" t="s">
        <v>11</v>
      </c>
      <c r="I38" s="155"/>
      <c r="J38" s="155"/>
      <c r="K38" s="155"/>
      <c r="L38" s="155"/>
      <c r="M38" s="155"/>
      <c r="N38" s="155"/>
      <c r="O38" s="155"/>
      <c r="P38" s="155"/>
      <c r="Q38" s="155"/>
      <c r="R38" s="155"/>
      <c r="S38" s="156"/>
      <c r="T38" s="157" t="s">
        <v>12</v>
      </c>
      <c r="U38" s="154" t="s">
        <v>13</v>
      </c>
      <c r="V38" s="155"/>
      <c r="W38" s="156"/>
      <c r="X38" s="154" t="s">
        <v>14</v>
      </c>
      <c r="Y38" s="155"/>
      <c r="Z38" s="156"/>
      <c r="AA38" s="42" t="s">
        <v>15</v>
      </c>
      <c r="AB38" s="42"/>
      <c r="AC38" s="42"/>
      <c r="AD38" s="42" t="s">
        <v>16</v>
      </c>
      <c r="AE38" s="42"/>
      <c r="AF38" s="42"/>
      <c r="AG38" s="154" t="s">
        <v>17</v>
      </c>
      <c r="AH38" s="155"/>
      <c r="AI38" s="155"/>
      <c r="AJ38" s="155"/>
      <c r="AK38" s="156"/>
    </row>
    <row r="39" spans="1:37" s="68" customFormat="1" ht="37.5" customHeight="1" x14ac:dyDescent="0.25">
      <c r="A39" s="147"/>
      <c r="B39" s="158"/>
      <c r="C39" s="158"/>
      <c r="D39" s="158"/>
      <c r="E39" s="158"/>
      <c r="F39" s="158"/>
      <c r="G39" s="158"/>
      <c r="H39" s="54" t="s">
        <v>18</v>
      </c>
      <c r="I39" s="54" t="s">
        <v>19</v>
      </c>
      <c r="J39" s="54" t="s">
        <v>20</v>
      </c>
      <c r="K39" s="54" t="s">
        <v>21</v>
      </c>
      <c r="L39" s="54" t="s">
        <v>20</v>
      </c>
      <c r="M39" s="54" t="s">
        <v>22</v>
      </c>
      <c r="N39" s="54" t="s">
        <v>22</v>
      </c>
      <c r="O39" s="54" t="s">
        <v>21</v>
      </c>
      <c r="P39" s="54" t="s">
        <v>23</v>
      </c>
      <c r="Q39" s="54" t="s">
        <v>24</v>
      </c>
      <c r="R39" s="54" t="s">
        <v>25</v>
      </c>
      <c r="S39" s="54" t="s">
        <v>26</v>
      </c>
      <c r="T39" s="158"/>
      <c r="U39" s="54" t="s">
        <v>27</v>
      </c>
      <c r="V39" s="54" t="s">
        <v>28</v>
      </c>
      <c r="W39" s="54" t="s">
        <v>29</v>
      </c>
      <c r="X39" s="54" t="s">
        <v>30</v>
      </c>
      <c r="Y39" s="54" t="s">
        <v>31</v>
      </c>
      <c r="Z39" s="54" t="s">
        <v>32</v>
      </c>
      <c r="AA39" s="54" t="s">
        <v>33</v>
      </c>
      <c r="AB39" s="54" t="s">
        <v>34</v>
      </c>
      <c r="AC39" s="54" t="s">
        <v>35</v>
      </c>
      <c r="AD39" s="54" t="s">
        <v>36</v>
      </c>
      <c r="AE39" s="54" t="s">
        <v>37</v>
      </c>
      <c r="AF39" s="54" t="s">
        <v>38</v>
      </c>
      <c r="AG39" s="54" t="s">
        <v>39</v>
      </c>
      <c r="AH39" s="54" t="s">
        <v>40</v>
      </c>
      <c r="AI39" s="54" t="s">
        <v>41</v>
      </c>
      <c r="AJ39" s="54" t="s">
        <v>42</v>
      </c>
      <c r="AK39" s="54" t="s">
        <v>174</v>
      </c>
    </row>
    <row r="40" spans="1:37" ht="154.5" customHeight="1" x14ac:dyDescent="0.25">
      <c r="A40" s="147"/>
      <c r="B40" s="16">
        <v>1</v>
      </c>
      <c r="C40" s="51" t="s">
        <v>219</v>
      </c>
      <c r="D40" s="38" t="s">
        <v>220</v>
      </c>
      <c r="E40" s="51" t="s">
        <v>110</v>
      </c>
      <c r="F40" s="3" t="s">
        <v>218</v>
      </c>
      <c r="G40" s="17">
        <v>1</v>
      </c>
      <c r="H40" s="39"/>
      <c r="I40" s="39"/>
      <c r="J40" s="39"/>
      <c r="K40" s="39"/>
      <c r="L40" s="39"/>
      <c r="M40" s="39"/>
      <c r="N40" s="39"/>
      <c r="O40" s="39"/>
      <c r="P40" s="39"/>
      <c r="Q40" s="39"/>
      <c r="R40" s="39"/>
      <c r="S40" s="39"/>
      <c r="T40" s="3" t="s">
        <v>222</v>
      </c>
      <c r="U40" s="71" t="s">
        <v>396</v>
      </c>
      <c r="V40" s="4">
        <f>3/4</f>
        <v>0.75</v>
      </c>
      <c r="W40" s="84" t="s">
        <v>395</v>
      </c>
      <c r="X40" s="18" t="s">
        <v>489</v>
      </c>
      <c r="Y40" s="4">
        <v>1</v>
      </c>
      <c r="Z40" s="2" t="s">
        <v>490</v>
      </c>
      <c r="AA40" s="18"/>
      <c r="AB40" s="4"/>
      <c r="AC40" s="38"/>
      <c r="AD40" s="3"/>
      <c r="AE40" s="3"/>
      <c r="AF40" s="3"/>
      <c r="AG40" s="4">
        <f>V40*0.25</f>
        <v>0.1875</v>
      </c>
      <c r="AH40" s="4">
        <v>0.25</v>
      </c>
      <c r="AI40" s="4"/>
      <c r="AJ40" s="21"/>
      <c r="AK40" s="6">
        <f>SUM(AG40:AJ40)</f>
        <v>0.4375</v>
      </c>
    </row>
    <row r="41" spans="1:37" ht="139.5" customHeight="1" x14ac:dyDescent="0.25">
      <c r="A41" s="147"/>
      <c r="B41" s="16">
        <v>2</v>
      </c>
      <c r="C41" s="51" t="s">
        <v>139</v>
      </c>
      <c r="D41" s="38" t="s">
        <v>138</v>
      </c>
      <c r="E41" s="51" t="s">
        <v>110</v>
      </c>
      <c r="F41" s="3" t="s">
        <v>221</v>
      </c>
      <c r="G41" s="51">
        <v>12</v>
      </c>
      <c r="H41" s="39"/>
      <c r="I41" s="39"/>
      <c r="J41" s="39"/>
      <c r="K41" s="39"/>
      <c r="L41" s="39"/>
      <c r="M41" s="39"/>
      <c r="N41" s="39"/>
      <c r="O41" s="39"/>
      <c r="P41" s="39"/>
      <c r="Q41" s="39"/>
      <c r="R41" s="39"/>
      <c r="S41" s="39"/>
      <c r="T41" s="3" t="s">
        <v>223</v>
      </c>
      <c r="U41" s="71" t="s">
        <v>397</v>
      </c>
      <c r="V41" s="4">
        <v>1</v>
      </c>
      <c r="W41" s="2" t="s">
        <v>398</v>
      </c>
      <c r="X41" s="18" t="s">
        <v>491</v>
      </c>
      <c r="Y41" s="4">
        <v>0.67</v>
      </c>
      <c r="Z41" s="2" t="s">
        <v>492</v>
      </c>
      <c r="AA41" s="18"/>
      <c r="AB41" s="4"/>
      <c r="AC41" s="38"/>
      <c r="AD41" s="3"/>
      <c r="AE41" s="3"/>
      <c r="AF41" s="3"/>
      <c r="AG41" s="4">
        <v>0.25</v>
      </c>
      <c r="AH41" s="4">
        <v>0.16750000000000001</v>
      </c>
      <c r="AI41" s="4"/>
      <c r="AJ41" s="21"/>
      <c r="AK41" s="6">
        <f t="shared" ref="AK41:AK45" si="2">SUM(AG41:AJ41)</f>
        <v>0.41749999999999998</v>
      </c>
    </row>
    <row r="42" spans="1:37" ht="117" customHeight="1" x14ac:dyDescent="0.25">
      <c r="A42" s="147"/>
      <c r="B42" s="16">
        <v>3</v>
      </c>
      <c r="C42" s="144" t="s">
        <v>224</v>
      </c>
      <c r="D42" s="38" t="s">
        <v>140</v>
      </c>
      <c r="E42" s="51" t="s">
        <v>110</v>
      </c>
      <c r="F42" s="3" t="s">
        <v>141</v>
      </c>
      <c r="G42" s="51">
        <v>12</v>
      </c>
      <c r="H42" s="39"/>
      <c r="I42" s="39"/>
      <c r="J42" s="39"/>
      <c r="K42" s="39"/>
      <c r="L42" s="39"/>
      <c r="M42" s="39"/>
      <c r="N42" s="39"/>
      <c r="O42" s="39"/>
      <c r="P42" s="39"/>
      <c r="Q42" s="39"/>
      <c r="R42" s="39"/>
      <c r="S42" s="39"/>
      <c r="T42" s="3" t="s">
        <v>223</v>
      </c>
      <c r="U42" s="71" t="s">
        <v>399</v>
      </c>
      <c r="V42" s="4">
        <v>1</v>
      </c>
      <c r="W42" s="2" t="s">
        <v>400</v>
      </c>
      <c r="X42" s="18" t="s">
        <v>493</v>
      </c>
      <c r="Y42" s="4">
        <v>1</v>
      </c>
      <c r="Z42" s="2" t="s">
        <v>494</v>
      </c>
      <c r="AA42" s="18"/>
      <c r="AB42" s="4"/>
      <c r="AC42" s="38"/>
      <c r="AD42" s="3"/>
      <c r="AE42" s="3"/>
      <c r="AF42" s="3"/>
      <c r="AG42" s="4">
        <v>0.25</v>
      </c>
      <c r="AH42" s="4">
        <v>0.25</v>
      </c>
      <c r="AI42" s="4"/>
      <c r="AJ42" s="21"/>
      <c r="AK42" s="6">
        <f t="shared" si="2"/>
        <v>0.5</v>
      </c>
    </row>
    <row r="43" spans="1:37" ht="97.5" customHeight="1" x14ac:dyDescent="0.25">
      <c r="A43" s="147"/>
      <c r="B43" s="16">
        <v>4</v>
      </c>
      <c r="C43" s="151"/>
      <c r="D43" s="38" t="s">
        <v>143</v>
      </c>
      <c r="E43" s="51" t="s">
        <v>110</v>
      </c>
      <c r="F43" s="51" t="s">
        <v>225</v>
      </c>
      <c r="G43" s="51">
        <v>1</v>
      </c>
      <c r="H43" s="39"/>
      <c r="I43" s="39"/>
      <c r="J43" s="39"/>
      <c r="K43" s="3"/>
      <c r="L43" s="3"/>
      <c r="M43" s="3"/>
      <c r="N43" s="3"/>
      <c r="O43" s="3"/>
      <c r="P43" s="3"/>
      <c r="Q43" s="3"/>
      <c r="R43" s="3"/>
      <c r="S43" s="3"/>
      <c r="T43" s="3" t="s">
        <v>223</v>
      </c>
      <c r="U43" s="5" t="s">
        <v>394</v>
      </c>
      <c r="V43" s="4">
        <v>1</v>
      </c>
      <c r="W43" s="38" t="s">
        <v>401</v>
      </c>
      <c r="X43" s="5" t="s">
        <v>324</v>
      </c>
      <c r="Y43" s="5" t="s">
        <v>495</v>
      </c>
      <c r="Z43" s="95" t="s">
        <v>324</v>
      </c>
      <c r="AA43" s="5"/>
      <c r="AB43" s="5"/>
      <c r="AC43" s="95"/>
      <c r="AD43" s="47"/>
      <c r="AE43" s="95"/>
      <c r="AF43" s="95"/>
      <c r="AG43" s="4">
        <v>1</v>
      </c>
      <c r="AH43" s="5" t="s">
        <v>324</v>
      </c>
      <c r="AI43" s="5" t="s">
        <v>324</v>
      </c>
      <c r="AJ43" s="21" t="s">
        <v>324</v>
      </c>
      <c r="AK43" s="6">
        <f t="shared" si="2"/>
        <v>1</v>
      </c>
    </row>
    <row r="44" spans="1:37" ht="89.25" customHeight="1" x14ac:dyDescent="0.25">
      <c r="A44" s="147"/>
      <c r="B44" s="16">
        <v>5</v>
      </c>
      <c r="C44" s="145"/>
      <c r="D44" s="38" t="s">
        <v>144</v>
      </c>
      <c r="E44" s="51" t="s">
        <v>110</v>
      </c>
      <c r="F44" s="51" t="s">
        <v>142</v>
      </c>
      <c r="G44" s="51">
        <v>12</v>
      </c>
      <c r="H44" s="39"/>
      <c r="I44" s="39"/>
      <c r="J44" s="39"/>
      <c r="K44" s="39"/>
      <c r="L44" s="39"/>
      <c r="M44" s="39"/>
      <c r="N44" s="39"/>
      <c r="O44" s="39"/>
      <c r="P44" s="39"/>
      <c r="Q44" s="39"/>
      <c r="R44" s="39"/>
      <c r="S44" s="39"/>
      <c r="T44" s="51" t="s">
        <v>285</v>
      </c>
      <c r="U44" s="71" t="s">
        <v>403</v>
      </c>
      <c r="V44" s="4">
        <v>1</v>
      </c>
      <c r="W44" s="19" t="s">
        <v>402</v>
      </c>
      <c r="X44" s="18" t="s">
        <v>496</v>
      </c>
      <c r="Y44" s="4">
        <v>1</v>
      </c>
      <c r="Z44" s="19" t="s">
        <v>497</v>
      </c>
      <c r="AA44" s="18"/>
      <c r="AB44" s="4"/>
      <c r="AC44" s="35"/>
      <c r="AD44" s="23"/>
      <c r="AE44" s="47"/>
      <c r="AF44" s="5"/>
      <c r="AG44" s="4">
        <v>0.25</v>
      </c>
      <c r="AH44" s="4">
        <v>0.25</v>
      </c>
      <c r="AI44" s="4"/>
      <c r="AJ44" s="31"/>
      <c r="AK44" s="6">
        <f t="shared" si="2"/>
        <v>0.5</v>
      </c>
    </row>
    <row r="45" spans="1:37" ht="113.25" customHeight="1" x14ac:dyDescent="0.25">
      <c r="A45" s="147"/>
      <c r="B45" s="16">
        <v>6</v>
      </c>
      <c r="C45" s="51" t="s">
        <v>226</v>
      </c>
      <c r="D45" s="38" t="s">
        <v>227</v>
      </c>
      <c r="E45" s="51" t="s">
        <v>110</v>
      </c>
      <c r="F45" s="51" t="s">
        <v>228</v>
      </c>
      <c r="G45" s="21">
        <v>7.4999999999999997E-2</v>
      </c>
      <c r="H45" s="51"/>
      <c r="I45" s="51"/>
      <c r="J45" s="51"/>
      <c r="K45" s="51"/>
      <c r="L45" s="51"/>
      <c r="M45" s="39"/>
      <c r="N45" s="51"/>
      <c r="O45" s="51"/>
      <c r="P45" s="51"/>
      <c r="Q45" s="51"/>
      <c r="R45" s="51"/>
      <c r="S45" s="39"/>
      <c r="T45" s="51" t="s">
        <v>286</v>
      </c>
      <c r="U45" s="5" t="s">
        <v>324</v>
      </c>
      <c r="V45" s="4" t="s">
        <v>324</v>
      </c>
      <c r="W45" s="38" t="s">
        <v>324</v>
      </c>
      <c r="X45" s="5" t="s">
        <v>498</v>
      </c>
      <c r="Y45" s="4">
        <v>1</v>
      </c>
      <c r="Z45" s="38" t="s">
        <v>499</v>
      </c>
      <c r="AA45" s="5"/>
      <c r="AB45" s="4"/>
      <c r="AC45" s="38"/>
      <c r="AD45" s="23"/>
      <c r="AE45" s="23"/>
      <c r="AF45" s="51"/>
      <c r="AG45" s="4" t="s">
        <v>324</v>
      </c>
      <c r="AH45" s="4">
        <v>0.5</v>
      </c>
      <c r="AI45" s="4"/>
      <c r="AJ45" s="21"/>
      <c r="AK45" s="6">
        <f t="shared" si="2"/>
        <v>0.5</v>
      </c>
    </row>
    <row r="46" spans="1:37" ht="45.75" customHeight="1" x14ac:dyDescent="0.25">
      <c r="A46" s="138" t="s">
        <v>152</v>
      </c>
      <c r="B46" s="139"/>
      <c r="C46" s="139"/>
      <c r="D46" s="139"/>
      <c r="E46" s="139"/>
      <c r="F46" s="139"/>
      <c r="G46" s="139"/>
      <c r="H46" s="139"/>
      <c r="I46" s="139"/>
      <c r="J46" s="139"/>
      <c r="K46" s="139"/>
      <c r="L46" s="139"/>
      <c r="M46" s="139"/>
      <c r="N46" s="139"/>
      <c r="O46" s="139"/>
      <c r="P46" s="139"/>
      <c r="Q46" s="139"/>
      <c r="R46" s="139"/>
      <c r="S46" s="139"/>
      <c r="T46" s="140"/>
      <c r="U46" s="37"/>
      <c r="V46" s="37"/>
      <c r="W46" s="37"/>
      <c r="X46" s="37"/>
      <c r="Y46" s="37"/>
      <c r="Z46" s="37"/>
      <c r="AA46" s="37"/>
      <c r="AB46" s="37"/>
      <c r="AC46" s="37"/>
      <c r="AD46" s="37"/>
      <c r="AE46" s="37"/>
      <c r="AF46" s="37"/>
      <c r="AG46" s="37"/>
      <c r="AH46" s="37"/>
      <c r="AI46" s="37"/>
      <c r="AJ46" s="37"/>
      <c r="AK46" s="37"/>
    </row>
    <row r="47" spans="1:37" s="68" customFormat="1" ht="68.25" customHeight="1" x14ac:dyDescent="0.25">
      <c r="A47" s="141" t="s">
        <v>111</v>
      </c>
      <c r="B47" s="157" t="s">
        <v>6</v>
      </c>
      <c r="C47" s="157" t="s">
        <v>148</v>
      </c>
      <c r="D47" s="157" t="s">
        <v>7</v>
      </c>
      <c r="E47" s="157" t="s">
        <v>8</v>
      </c>
      <c r="F47" s="157" t="s">
        <v>9</v>
      </c>
      <c r="G47" s="157" t="s">
        <v>10</v>
      </c>
      <c r="H47" s="154" t="s">
        <v>11</v>
      </c>
      <c r="I47" s="155"/>
      <c r="J47" s="155"/>
      <c r="K47" s="155"/>
      <c r="L47" s="155"/>
      <c r="M47" s="155"/>
      <c r="N47" s="155"/>
      <c r="O47" s="155"/>
      <c r="P47" s="155"/>
      <c r="Q47" s="155"/>
      <c r="R47" s="155"/>
      <c r="S47" s="156"/>
      <c r="T47" s="157" t="s">
        <v>12</v>
      </c>
      <c r="U47" s="154" t="s">
        <v>13</v>
      </c>
      <c r="V47" s="155"/>
      <c r="W47" s="156"/>
      <c r="X47" s="154" t="s">
        <v>14</v>
      </c>
      <c r="Y47" s="155"/>
      <c r="Z47" s="156"/>
      <c r="AA47" s="154" t="s">
        <v>15</v>
      </c>
      <c r="AB47" s="155"/>
      <c r="AC47" s="156"/>
      <c r="AD47" s="154" t="s">
        <v>16</v>
      </c>
      <c r="AE47" s="155"/>
      <c r="AF47" s="156"/>
      <c r="AG47" s="154" t="s">
        <v>17</v>
      </c>
      <c r="AH47" s="155"/>
      <c r="AI47" s="155"/>
      <c r="AJ47" s="155"/>
      <c r="AK47" s="156"/>
    </row>
    <row r="48" spans="1:37" s="68" customFormat="1" ht="39" customHeight="1" x14ac:dyDescent="0.25">
      <c r="A48" s="142"/>
      <c r="B48" s="158"/>
      <c r="C48" s="158"/>
      <c r="D48" s="158"/>
      <c r="E48" s="158"/>
      <c r="F48" s="158"/>
      <c r="G48" s="158"/>
      <c r="H48" s="54" t="s">
        <v>18</v>
      </c>
      <c r="I48" s="54" t="s">
        <v>19</v>
      </c>
      <c r="J48" s="54" t="s">
        <v>20</v>
      </c>
      <c r="K48" s="54" t="s">
        <v>21</v>
      </c>
      <c r="L48" s="54" t="s">
        <v>20</v>
      </c>
      <c r="M48" s="54" t="s">
        <v>22</v>
      </c>
      <c r="N48" s="54" t="s">
        <v>22</v>
      </c>
      <c r="O48" s="54" t="s">
        <v>21</v>
      </c>
      <c r="P48" s="54" t="s">
        <v>23</v>
      </c>
      <c r="Q48" s="54" t="s">
        <v>24</v>
      </c>
      <c r="R48" s="54" t="s">
        <v>25</v>
      </c>
      <c r="S48" s="54" t="s">
        <v>26</v>
      </c>
      <c r="T48" s="158"/>
      <c r="U48" s="54" t="s">
        <v>27</v>
      </c>
      <c r="V48" s="54" t="s">
        <v>28</v>
      </c>
      <c r="W48" s="54" t="s">
        <v>29</v>
      </c>
      <c r="X48" s="54" t="s">
        <v>30</v>
      </c>
      <c r="Y48" s="54" t="s">
        <v>31</v>
      </c>
      <c r="Z48" s="54" t="s">
        <v>32</v>
      </c>
      <c r="AA48" s="54" t="s">
        <v>33</v>
      </c>
      <c r="AB48" s="54" t="s">
        <v>34</v>
      </c>
      <c r="AC48" s="54" t="s">
        <v>35</v>
      </c>
      <c r="AD48" s="54" t="s">
        <v>36</v>
      </c>
      <c r="AE48" s="54" t="s">
        <v>37</v>
      </c>
      <c r="AF48" s="54" t="s">
        <v>38</v>
      </c>
      <c r="AG48" s="54" t="s">
        <v>39</v>
      </c>
      <c r="AH48" s="54" t="s">
        <v>40</v>
      </c>
      <c r="AI48" s="54" t="s">
        <v>41</v>
      </c>
      <c r="AJ48" s="54" t="s">
        <v>42</v>
      </c>
      <c r="AK48" s="54" t="s">
        <v>174</v>
      </c>
    </row>
    <row r="49" spans="1:37" ht="104.45" customHeight="1" x14ac:dyDescent="0.25">
      <c r="A49" s="142"/>
      <c r="B49" s="16">
        <v>1</v>
      </c>
      <c r="C49" s="62" t="s">
        <v>193</v>
      </c>
      <c r="D49" s="38" t="s">
        <v>199</v>
      </c>
      <c r="E49" s="52">
        <v>158000000</v>
      </c>
      <c r="F49" s="3" t="s">
        <v>200</v>
      </c>
      <c r="G49" s="5">
        <v>1</v>
      </c>
      <c r="H49" s="3"/>
      <c r="I49" s="39"/>
      <c r="J49" s="39"/>
      <c r="K49" s="39"/>
      <c r="L49" s="39"/>
      <c r="M49" s="39"/>
      <c r="N49" s="39"/>
      <c r="O49" s="39"/>
      <c r="P49" s="39"/>
      <c r="Q49" s="39"/>
      <c r="R49" s="39"/>
      <c r="S49" s="39"/>
      <c r="T49" s="3" t="s">
        <v>287</v>
      </c>
      <c r="U49" s="3" t="s">
        <v>404</v>
      </c>
      <c r="V49" s="4">
        <v>1</v>
      </c>
      <c r="W49" s="2" t="s">
        <v>405</v>
      </c>
      <c r="X49" s="10" t="s">
        <v>458</v>
      </c>
      <c r="Y49" s="4">
        <v>1</v>
      </c>
      <c r="Z49" s="2" t="s">
        <v>459</v>
      </c>
      <c r="AA49" s="18"/>
      <c r="AB49" s="17"/>
      <c r="AC49" s="38"/>
      <c r="AD49" s="3"/>
      <c r="AE49" s="4"/>
      <c r="AF49" s="3"/>
      <c r="AG49" s="4">
        <v>0.25</v>
      </c>
      <c r="AH49" s="4">
        <v>0.25</v>
      </c>
      <c r="AI49" s="4"/>
      <c r="AJ49" s="51"/>
      <c r="AK49" s="6">
        <f>SUM(AG49:AJ49)</f>
        <v>0.5</v>
      </c>
    </row>
    <row r="50" spans="1:37" ht="87" customHeight="1" x14ac:dyDescent="0.25">
      <c r="A50" s="142"/>
      <c r="B50" s="16">
        <v>2</v>
      </c>
      <c r="C50" s="51" t="s">
        <v>196</v>
      </c>
      <c r="D50" s="38" t="s">
        <v>197</v>
      </c>
      <c r="E50" s="52">
        <v>248000000</v>
      </c>
      <c r="F50" s="34" t="s">
        <v>198</v>
      </c>
      <c r="G50" s="5">
        <v>1</v>
      </c>
      <c r="H50" s="39"/>
      <c r="I50" s="39"/>
      <c r="J50" s="39"/>
      <c r="K50" s="39"/>
      <c r="L50" s="39"/>
      <c r="M50" s="39"/>
      <c r="N50" s="39"/>
      <c r="O50" s="39"/>
      <c r="P50" s="39"/>
      <c r="Q50" s="39"/>
      <c r="R50" s="39"/>
      <c r="S50" s="39"/>
      <c r="T50" s="3" t="s">
        <v>288</v>
      </c>
      <c r="U50" s="71" t="s">
        <v>385</v>
      </c>
      <c r="V50" s="4">
        <v>1</v>
      </c>
      <c r="W50" s="2" t="s">
        <v>406</v>
      </c>
      <c r="X50" s="18" t="s">
        <v>385</v>
      </c>
      <c r="Y50" s="4">
        <v>1</v>
      </c>
      <c r="Z50" s="2" t="s">
        <v>443</v>
      </c>
      <c r="AA50" s="10"/>
      <c r="AB50" s="17"/>
      <c r="AC50" s="38"/>
      <c r="AD50" s="27"/>
      <c r="AE50" s="12"/>
      <c r="AF50" s="2"/>
      <c r="AG50" s="4">
        <v>0.25</v>
      </c>
      <c r="AH50" s="4">
        <v>0.25</v>
      </c>
      <c r="AI50" s="4"/>
      <c r="AJ50" s="40"/>
      <c r="AK50" s="6">
        <f t="shared" ref="AK50:AK61" si="3">SUM(AG50:AJ50)</f>
        <v>0.5</v>
      </c>
    </row>
    <row r="51" spans="1:37" ht="106.9" customHeight="1" x14ac:dyDescent="0.25">
      <c r="A51" s="142"/>
      <c r="B51" s="16">
        <v>3</v>
      </c>
      <c r="C51" s="144" t="s">
        <v>112</v>
      </c>
      <c r="D51" s="38" t="s">
        <v>153</v>
      </c>
      <c r="E51" s="148">
        <v>2648302188</v>
      </c>
      <c r="F51" s="3" t="s">
        <v>154</v>
      </c>
      <c r="G51" s="5">
        <v>1</v>
      </c>
      <c r="H51" s="39"/>
      <c r="I51" s="39"/>
      <c r="J51" s="39"/>
      <c r="K51" s="39"/>
      <c r="L51" s="39"/>
      <c r="M51" s="39"/>
      <c r="N51" s="39"/>
      <c r="O51" s="39"/>
      <c r="P51" s="39"/>
      <c r="Q51" s="39"/>
      <c r="R51" s="39"/>
      <c r="S51" s="39"/>
      <c r="T51" s="3" t="s">
        <v>289</v>
      </c>
      <c r="U51" s="10" t="s">
        <v>407</v>
      </c>
      <c r="V51" s="4">
        <v>1</v>
      </c>
      <c r="W51" s="19" t="s">
        <v>408</v>
      </c>
      <c r="X51" s="10" t="s">
        <v>407</v>
      </c>
      <c r="Y51" s="4">
        <v>1</v>
      </c>
      <c r="Z51" s="19" t="s">
        <v>408</v>
      </c>
      <c r="AA51" s="10"/>
      <c r="AB51" s="17"/>
      <c r="AC51" s="35"/>
      <c r="AD51" s="27"/>
      <c r="AE51" s="5"/>
      <c r="AF51" s="5"/>
      <c r="AG51" s="4">
        <v>0.25</v>
      </c>
      <c r="AH51" s="4">
        <v>0.25</v>
      </c>
      <c r="AI51" s="4"/>
      <c r="AJ51" s="31"/>
      <c r="AK51" s="6">
        <f t="shared" si="3"/>
        <v>0.5</v>
      </c>
    </row>
    <row r="52" spans="1:37" ht="78.75" customHeight="1" x14ac:dyDescent="0.25">
      <c r="A52" s="142"/>
      <c r="B52" s="16">
        <v>4</v>
      </c>
      <c r="C52" s="145"/>
      <c r="D52" s="38" t="s">
        <v>194</v>
      </c>
      <c r="E52" s="150"/>
      <c r="F52" s="3" t="s">
        <v>195</v>
      </c>
      <c r="G52" s="51">
        <v>10</v>
      </c>
      <c r="H52" s="51"/>
      <c r="I52" s="39"/>
      <c r="J52" s="39"/>
      <c r="K52" s="39"/>
      <c r="L52" s="39"/>
      <c r="M52" s="39"/>
      <c r="N52" s="39"/>
      <c r="O52" s="39"/>
      <c r="P52" s="39"/>
      <c r="Q52" s="39"/>
      <c r="R52" s="39"/>
      <c r="S52" s="39"/>
      <c r="T52" s="3" t="s">
        <v>289</v>
      </c>
      <c r="U52" s="10" t="s">
        <v>409</v>
      </c>
      <c r="V52" s="4">
        <f>(10/12)</f>
        <v>0.83333333333333337</v>
      </c>
      <c r="W52" s="19" t="s">
        <v>410</v>
      </c>
      <c r="X52" s="10" t="s">
        <v>427</v>
      </c>
      <c r="Y52" s="4">
        <v>1</v>
      </c>
      <c r="Z52" s="19" t="s">
        <v>486</v>
      </c>
      <c r="AA52" s="10"/>
      <c r="AB52" s="17"/>
      <c r="AC52" s="35"/>
      <c r="AD52" s="27"/>
      <c r="AE52" s="5"/>
      <c r="AF52" s="5"/>
      <c r="AG52" s="4">
        <f>(10/12)*0.25</f>
        <v>0.20833333333333334</v>
      </c>
      <c r="AH52" s="4">
        <v>0.25</v>
      </c>
      <c r="AI52" s="4"/>
      <c r="AJ52" s="31"/>
      <c r="AK52" s="6">
        <f t="shared" si="3"/>
        <v>0.45833333333333337</v>
      </c>
    </row>
    <row r="53" spans="1:37" ht="40.15" customHeight="1" x14ac:dyDescent="0.25">
      <c r="A53" s="142"/>
      <c r="B53" s="16">
        <v>5</v>
      </c>
      <c r="C53" s="144" t="s">
        <v>201</v>
      </c>
      <c r="D53" s="65" t="s">
        <v>202</v>
      </c>
      <c r="E53" s="148">
        <v>437034516</v>
      </c>
      <c r="F53" s="36" t="s">
        <v>203</v>
      </c>
      <c r="G53" s="17">
        <v>1</v>
      </c>
      <c r="H53" s="51"/>
      <c r="I53" s="39"/>
      <c r="J53" s="39"/>
      <c r="K53" s="39"/>
      <c r="L53" s="39"/>
      <c r="M53" s="39"/>
      <c r="N53" s="39"/>
      <c r="O53" s="39"/>
      <c r="P53" s="39"/>
      <c r="Q53" s="39"/>
      <c r="R53" s="39"/>
      <c r="S53" s="39"/>
      <c r="T53" s="51" t="s">
        <v>290</v>
      </c>
      <c r="U53" s="71" t="s">
        <v>392</v>
      </c>
      <c r="V53" s="11">
        <v>1</v>
      </c>
      <c r="W53" s="7" t="s">
        <v>393</v>
      </c>
      <c r="X53" s="18" t="s">
        <v>452</v>
      </c>
      <c r="Y53" s="17">
        <v>1</v>
      </c>
      <c r="Z53" s="38" t="s">
        <v>444</v>
      </c>
      <c r="AA53" s="18"/>
      <c r="AB53" s="17"/>
      <c r="AC53" s="38"/>
      <c r="AD53" s="17"/>
      <c r="AE53" s="40"/>
      <c r="AF53" s="40"/>
      <c r="AG53" s="4">
        <v>0.25</v>
      </c>
      <c r="AH53" s="4">
        <v>0.25</v>
      </c>
      <c r="AI53" s="4"/>
      <c r="AJ53" s="40"/>
      <c r="AK53" s="6">
        <f t="shared" si="3"/>
        <v>0.5</v>
      </c>
    </row>
    <row r="54" spans="1:37" ht="46.9" customHeight="1" x14ac:dyDescent="0.25">
      <c r="A54" s="142"/>
      <c r="B54" s="16">
        <v>6</v>
      </c>
      <c r="C54" s="151"/>
      <c r="D54" s="65" t="s">
        <v>213</v>
      </c>
      <c r="E54" s="150"/>
      <c r="F54" s="36" t="s">
        <v>214</v>
      </c>
      <c r="G54" s="17">
        <v>1</v>
      </c>
      <c r="H54" s="51"/>
      <c r="I54" s="39"/>
      <c r="J54" s="39"/>
      <c r="K54" s="39"/>
      <c r="L54" s="39"/>
      <c r="M54" s="39"/>
      <c r="N54" s="39"/>
      <c r="O54" s="39"/>
      <c r="P54" s="39"/>
      <c r="Q54" s="39"/>
      <c r="R54" s="39"/>
      <c r="S54" s="39"/>
      <c r="T54" s="51" t="s">
        <v>290</v>
      </c>
      <c r="U54" s="71" t="s">
        <v>390</v>
      </c>
      <c r="V54" s="11">
        <v>1</v>
      </c>
      <c r="W54" s="7" t="s">
        <v>391</v>
      </c>
      <c r="X54" s="18" t="s">
        <v>453</v>
      </c>
      <c r="Y54" s="17">
        <v>1</v>
      </c>
      <c r="Z54" s="38" t="s">
        <v>445</v>
      </c>
      <c r="AA54" s="18"/>
      <c r="AB54" s="17"/>
      <c r="AC54" s="38"/>
      <c r="AD54" s="17"/>
      <c r="AE54" s="40"/>
      <c r="AF54" s="40"/>
      <c r="AG54" s="4">
        <v>0.25</v>
      </c>
      <c r="AH54" s="4">
        <v>0.25</v>
      </c>
      <c r="AI54" s="4"/>
      <c r="AJ54" s="4"/>
      <c r="AK54" s="6">
        <f t="shared" si="3"/>
        <v>0.5</v>
      </c>
    </row>
    <row r="55" spans="1:37" ht="79.5" customHeight="1" x14ac:dyDescent="0.25">
      <c r="A55" s="142"/>
      <c r="B55" s="16">
        <v>7</v>
      </c>
      <c r="C55" s="151"/>
      <c r="D55" s="65" t="s">
        <v>209</v>
      </c>
      <c r="E55" s="148">
        <v>380000000</v>
      </c>
      <c r="F55" s="36" t="s">
        <v>210</v>
      </c>
      <c r="G55" s="17">
        <v>1</v>
      </c>
      <c r="H55" s="51"/>
      <c r="I55" s="39"/>
      <c r="J55" s="39"/>
      <c r="K55" s="39"/>
      <c r="L55" s="39"/>
      <c r="M55" s="39"/>
      <c r="N55" s="39"/>
      <c r="O55" s="39"/>
      <c r="P55" s="39"/>
      <c r="Q55" s="39"/>
      <c r="R55" s="39"/>
      <c r="S55" s="39"/>
      <c r="T55" s="51" t="s">
        <v>291</v>
      </c>
      <c r="U55" s="85" t="s">
        <v>377</v>
      </c>
      <c r="V55" s="4">
        <f>3/4</f>
        <v>0.75</v>
      </c>
      <c r="W55" s="86" t="s">
        <v>349</v>
      </c>
      <c r="X55" s="4">
        <v>0.75</v>
      </c>
      <c r="Y55" s="4">
        <v>0.75</v>
      </c>
      <c r="Z55" s="24" t="s">
        <v>446</v>
      </c>
      <c r="AA55" s="18"/>
      <c r="AB55" s="17"/>
      <c r="AC55" s="38"/>
      <c r="AD55" s="17"/>
      <c r="AE55" s="4"/>
      <c r="AF55" s="24"/>
      <c r="AG55" s="4">
        <f>(3/4)*0.25</f>
        <v>0.1875</v>
      </c>
      <c r="AH55" s="4">
        <v>0.1875</v>
      </c>
      <c r="AI55" s="4"/>
      <c r="AJ55" s="40"/>
      <c r="AK55" s="6">
        <f t="shared" si="3"/>
        <v>0.375</v>
      </c>
    </row>
    <row r="56" spans="1:37" ht="113.25" customHeight="1" x14ac:dyDescent="0.25">
      <c r="A56" s="142"/>
      <c r="B56" s="16">
        <v>8</v>
      </c>
      <c r="C56" s="151"/>
      <c r="D56" s="65" t="s">
        <v>207</v>
      </c>
      <c r="E56" s="149"/>
      <c r="F56" s="36" t="s">
        <v>208</v>
      </c>
      <c r="G56" s="17">
        <v>1</v>
      </c>
      <c r="H56" s="51"/>
      <c r="I56" s="39"/>
      <c r="J56" s="39"/>
      <c r="K56" s="39"/>
      <c r="L56" s="39"/>
      <c r="M56" s="39"/>
      <c r="N56" s="39"/>
      <c r="O56" s="39"/>
      <c r="P56" s="39"/>
      <c r="Q56" s="39"/>
      <c r="R56" s="39"/>
      <c r="S56" s="39"/>
      <c r="T56" s="51" t="s">
        <v>292</v>
      </c>
      <c r="U56" s="53" t="s">
        <v>350</v>
      </c>
      <c r="V56" s="9">
        <f>57.7487772%/25%</f>
        <v>2.309951088</v>
      </c>
      <c r="W56" s="76" t="s">
        <v>351</v>
      </c>
      <c r="X56" s="51" t="s">
        <v>454</v>
      </c>
      <c r="Y56" s="9">
        <v>1.2271299999999998</v>
      </c>
      <c r="Z56" s="38" t="s">
        <v>447</v>
      </c>
      <c r="AA56" s="51"/>
      <c r="AB56" s="17"/>
      <c r="AC56" s="38"/>
      <c r="AD56" s="40"/>
      <c r="AE56" s="40"/>
      <c r="AF56" s="40"/>
      <c r="AG56" s="9">
        <f>(58/25)*0.25</f>
        <v>0.57999999999999996</v>
      </c>
      <c r="AH56" s="9">
        <v>0.3</v>
      </c>
      <c r="AI56" s="17"/>
      <c r="AJ56" s="40"/>
      <c r="AK56" s="6">
        <f t="shared" si="3"/>
        <v>0.87999999999999989</v>
      </c>
    </row>
    <row r="57" spans="1:37" ht="105.75" customHeight="1" x14ac:dyDescent="0.25">
      <c r="A57" s="142"/>
      <c r="B57" s="16">
        <v>9</v>
      </c>
      <c r="C57" s="151"/>
      <c r="D57" s="65" t="s">
        <v>211</v>
      </c>
      <c r="E57" s="149"/>
      <c r="F57" s="36" t="s">
        <v>204</v>
      </c>
      <c r="G57" s="29">
        <v>1500</v>
      </c>
      <c r="H57" s="51"/>
      <c r="I57" s="39"/>
      <c r="J57" s="39"/>
      <c r="K57" s="39"/>
      <c r="L57" s="39"/>
      <c r="M57" s="39"/>
      <c r="N57" s="39"/>
      <c r="O57" s="39"/>
      <c r="P57" s="39"/>
      <c r="Q57" s="39"/>
      <c r="R57" s="39"/>
      <c r="S57" s="39"/>
      <c r="T57" s="51" t="s">
        <v>292</v>
      </c>
      <c r="U57" s="53" t="s">
        <v>352</v>
      </c>
      <c r="V57" s="78">
        <f>391.24/375</f>
        <v>1.0433066666666666</v>
      </c>
      <c r="W57" s="76" t="s">
        <v>353</v>
      </c>
      <c r="X57" s="51" t="s">
        <v>455</v>
      </c>
      <c r="Y57" s="9">
        <v>0.91205333333333327</v>
      </c>
      <c r="Z57" s="38" t="s">
        <v>448</v>
      </c>
      <c r="AA57" s="51"/>
      <c r="AB57" s="17"/>
      <c r="AC57" s="38"/>
      <c r="AD57" s="40"/>
      <c r="AE57" s="40"/>
      <c r="AF57" s="40"/>
      <c r="AG57" s="9">
        <f>(391/375)*0.25</f>
        <v>0.26066666666666666</v>
      </c>
      <c r="AH57" s="130">
        <f>+(342/375)*0.25</f>
        <v>0.22800000000000001</v>
      </c>
      <c r="AI57" s="9"/>
      <c r="AJ57" s="40"/>
      <c r="AK57" s="6">
        <f t="shared" si="3"/>
        <v>0.48866666666666669</v>
      </c>
    </row>
    <row r="58" spans="1:37" ht="110.25" customHeight="1" x14ac:dyDescent="0.25">
      <c r="A58" s="142"/>
      <c r="B58" s="16">
        <v>10</v>
      </c>
      <c r="C58" s="151"/>
      <c r="D58" s="65" t="s">
        <v>212</v>
      </c>
      <c r="E58" s="149"/>
      <c r="F58" s="36" t="s">
        <v>205</v>
      </c>
      <c r="G58" s="29">
        <v>100</v>
      </c>
      <c r="H58" s="51"/>
      <c r="I58" s="39"/>
      <c r="J58" s="39"/>
      <c r="K58" s="39"/>
      <c r="L58" s="39"/>
      <c r="M58" s="39"/>
      <c r="N58" s="39"/>
      <c r="O58" s="39"/>
      <c r="P58" s="39"/>
      <c r="Q58" s="39"/>
      <c r="R58" s="39"/>
      <c r="S58" s="39"/>
      <c r="T58" s="51" t="s">
        <v>291</v>
      </c>
      <c r="U58" s="53" t="s">
        <v>354</v>
      </c>
      <c r="V58" s="4">
        <v>0.04</v>
      </c>
      <c r="W58" s="86" t="s">
        <v>355</v>
      </c>
      <c r="X58" s="4">
        <v>0.12</v>
      </c>
      <c r="Y58" s="4">
        <v>0.12</v>
      </c>
      <c r="Z58" s="24" t="s">
        <v>449</v>
      </c>
      <c r="AA58" s="18"/>
      <c r="AB58" s="17"/>
      <c r="AC58" s="38"/>
      <c r="AD58" s="17"/>
      <c r="AE58" s="4"/>
      <c r="AF58" s="24"/>
      <c r="AG58" s="4">
        <f>(1/25)*0.25</f>
        <v>0.01</v>
      </c>
      <c r="AH58" s="4">
        <v>0.03</v>
      </c>
      <c r="AI58" s="4"/>
      <c r="AJ58" s="40"/>
      <c r="AK58" s="6">
        <f t="shared" si="3"/>
        <v>0.04</v>
      </c>
    </row>
    <row r="59" spans="1:37" ht="58.5" customHeight="1" x14ac:dyDescent="0.25">
      <c r="A59" s="142"/>
      <c r="B59" s="16">
        <v>11</v>
      </c>
      <c r="C59" s="151"/>
      <c r="D59" s="65" t="s">
        <v>215</v>
      </c>
      <c r="E59" s="149"/>
      <c r="F59" s="36" t="s">
        <v>206</v>
      </c>
      <c r="G59" s="29">
        <v>1</v>
      </c>
      <c r="H59" s="51"/>
      <c r="I59" s="51"/>
      <c r="J59" s="39"/>
      <c r="K59" s="39"/>
      <c r="L59" s="39"/>
      <c r="M59" s="39"/>
      <c r="N59" s="39"/>
      <c r="O59" s="39"/>
      <c r="P59" s="39"/>
      <c r="Q59" s="39"/>
      <c r="R59" s="39"/>
      <c r="S59" s="39"/>
      <c r="T59" s="51" t="s">
        <v>293</v>
      </c>
      <c r="U59" s="53">
        <v>0</v>
      </c>
      <c r="V59" s="9">
        <v>0</v>
      </c>
      <c r="W59" s="76" t="s">
        <v>356</v>
      </c>
      <c r="X59" s="51" t="s">
        <v>456</v>
      </c>
      <c r="Y59" s="9">
        <v>0</v>
      </c>
      <c r="Z59" s="38" t="s">
        <v>450</v>
      </c>
      <c r="AA59" s="51"/>
      <c r="AB59" s="17"/>
      <c r="AC59" s="38"/>
      <c r="AD59" s="40"/>
      <c r="AE59" s="40"/>
      <c r="AF59" s="40"/>
      <c r="AG59" s="9">
        <v>0</v>
      </c>
      <c r="AH59" s="9">
        <v>0</v>
      </c>
      <c r="AI59" s="17"/>
      <c r="AJ59" s="40"/>
      <c r="AK59" s="6">
        <f t="shared" si="3"/>
        <v>0</v>
      </c>
    </row>
    <row r="60" spans="1:37" ht="67.900000000000006" customHeight="1" x14ac:dyDescent="0.25">
      <c r="A60" s="142"/>
      <c r="B60" s="16">
        <v>12</v>
      </c>
      <c r="C60" s="145"/>
      <c r="D60" s="65" t="s">
        <v>216</v>
      </c>
      <c r="E60" s="150"/>
      <c r="F60" s="36" t="s">
        <v>217</v>
      </c>
      <c r="G60" s="17">
        <v>1</v>
      </c>
      <c r="H60" s="51"/>
      <c r="I60" s="39"/>
      <c r="J60" s="39"/>
      <c r="K60" s="39"/>
      <c r="L60" s="39"/>
      <c r="M60" s="39"/>
      <c r="N60" s="39"/>
      <c r="O60" s="39"/>
      <c r="P60" s="39"/>
      <c r="Q60" s="39"/>
      <c r="R60" s="39"/>
      <c r="S60" s="39"/>
      <c r="T60" s="51" t="s">
        <v>292</v>
      </c>
      <c r="U60" s="53" t="s">
        <v>357</v>
      </c>
      <c r="V60" s="9">
        <f>101/54</f>
        <v>1.8703703703703705</v>
      </c>
      <c r="W60" s="76" t="s">
        <v>358</v>
      </c>
      <c r="X60" s="51" t="s">
        <v>457</v>
      </c>
      <c r="Y60" s="9">
        <v>0.42592592592592593</v>
      </c>
      <c r="Z60" s="38" t="s">
        <v>451</v>
      </c>
      <c r="AA60" s="51"/>
      <c r="AB60" s="17"/>
      <c r="AC60" s="38"/>
      <c r="AD60" s="40"/>
      <c r="AE60" s="40"/>
      <c r="AF60" s="40"/>
      <c r="AG60" s="9">
        <f>(101/54)*0.25</f>
        <v>0.46759259259259262</v>
      </c>
      <c r="AH60" s="9">
        <v>0.10648148148148148</v>
      </c>
      <c r="AI60" s="17"/>
      <c r="AJ60" s="40"/>
      <c r="AK60" s="6">
        <f t="shared" si="3"/>
        <v>0.57407407407407407</v>
      </c>
    </row>
    <row r="61" spans="1:37" ht="105" customHeight="1" thickBot="1" x14ac:dyDescent="0.3">
      <c r="A61" s="143"/>
      <c r="B61" s="16">
        <v>13</v>
      </c>
      <c r="C61" s="56" t="s">
        <v>171</v>
      </c>
      <c r="D61" s="66" t="s">
        <v>155</v>
      </c>
      <c r="E61" s="62" t="s">
        <v>43</v>
      </c>
      <c r="F61" s="62" t="s">
        <v>388</v>
      </c>
      <c r="G61" s="62">
        <v>4</v>
      </c>
      <c r="H61" s="62"/>
      <c r="I61" s="62"/>
      <c r="J61" s="39"/>
      <c r="K61" s="62"/>
      <c r="L61" s="62"/>
      <c r="M61" s="39"/>
      <c r="N61" s="62"/>
      <c r="O61" s="62"/>
      <c r="P61" s="39"/>
      <c r="Q61" s="62"/>
      <c r="R61" s="62"/>
      <c r="S61" s="39"/>
      <c r="T61" s="62" t="s">
        <v>287</v>
      </c>
      <c r="U61" s="85" t="s">
        <v>478</v>
      </c>
      <c r="V61" s="79">
        <v>0.25</v>
      </c>
      <c r="W61" s="80" t="s">
        <v>389</v>
      </c>
      <c r="X61" s="71" t="s">
        <v>487</v>
      </c>
      <c r="Y61" s="9">
        <v>0.25</v>
      </c>
      <c r="Z61" s="80" t="s">
        <v>389</v>
      </c>
      <c r="AA61" s="59"/>
      <c r="AB61" s="60"/>
      <c r="AC61" s="66"/>
      <c r="AD61" s="58"/>
      <c r="AE61" s="58"/>
      <c r="AF61" s="57"/>
      <c r="AG61" s="61">
        <v>0.25</v>
      </c>
      <c r="AH61" s="61">
        <v>0.25</v>
      </c>
      <c r="AI61" s="60"/>
      <c r="AJ61" s="57"/>
      <c r="AK61" s="6">
        <f t="shared" si="3"/>
        <v>0.5</v>
      </c>
    </row>
    <row r="62" spans="1:37" ht="34.5" customHeight="1" x14ac:dyDescent="0.25">
      <c r="A62" s="138" t="s">
        <v>162</v>
      </c>
      <c r="B62" s="139"/>
      <c r="C62" s="139"/>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40"/>
    </row>
    <row r="63" spans="1:37" ht="63.75" customHeight="1" x14ac:dyDescent="0.25">
      <c r="A63" s="142" t="s">
        <v>162</v>
      </c>
      <c r="B63" s="157" t="s">
        <v>6</v>
      </c>
      <c r="C63" s="157" t="s">
        <v>148</v>
      </c>
      <c r="D63" s="157" t="s">
        <v>7</v>
      </c>
      <c r="E63" s="157" t="s">
        <v>8</v>
      </c>
      <c r="F63" s="157" t="s">
        <v>9</v>
      </c>
      <c r="G63" s="157" t="s">
        <v>10</v>
      </c>
      <c r="H63" s="154" t="s">
        <v>11</v>
      </c>
      <c r="I63" s="155"/>
      <c r="J63" s="155"/>
      <c r="K63" s="155"/>
      <c r="L63" s="155"/>
      <c r="M63" s="155"/>
      <c r="N63" s="155"/>
      <c r="O63" s="155"/>
      <c r="P63" s="155"/>
      <c r="Q63" s="155"/>
      <c r="R63" s="155"/>
      <c r="S63" s="156"/>
      <c r="T63" s="157" t="s">
        <v>12</v>
      </c>
      <c r="U63" s="154" t="s">
        <v>13</v>
      </c>
      <c r="V63" s="155"/>
      <c r="W63" s="156"/>
      <c r="X63" s="154" t="s">
        <v>14</v>
      </c>
      <c r="Y63" s="155"/>
      <c r="Z63" s="156"/>
      <c r="AA63" s="154" t="s">
        <v>15</v>
      </c>
      <c r="AB63" s="155"/>
      <c r="AC63" s="156"/>
      <c r="AD63" s="154" t="s">
        <v>16</v>
      </c>
      <c r="AE63" s="155"/>
      <c r="AF63" s="156"/>
      <c r="AG63" s="154" t="s">
        <v>17</v>
      </c>
      <c r="AH63" s="155"/>
      <c r="AI63" s="155"/>
      <c r="AJ63" s="155"/>
      <c r="AK63" s="156"/>
    </row>
    <row r="64" spans="1:37" ht="50.25" customHeight="1" x14ac:dyDescent="0.25">
      <c r="A64" s="142"/>
      <c r="B64" s="158"/>
      <c r="C64" s="158"/>
      <c r="D64" s="158"/>
      <c r="E64" s="158"/>
      <c r="F64" s="158"/>
      <c r="G64" s="158"/>
      <c r="H64" s="54" t="s">
        <v>18</v>
      </c>
      <c r="I64" s="54" t="s">
        <v>19</v>
      </c>
      <c r="J64" s="54" t="s">
        <v>20</v>
      </c>
      <c r="K64" s="54" t="s">
        <v>21</v>
      </c>
      <c r="L64" s="54" t="s">
        <v>20</v>
      </c>
      <c r="M64" s="54" t="s">
        <v>22</v>
      </c>
      <c r="N64" s="54" t="s">
        <v>22</v>
      </c>
      <c r="O64" s="54" t="s">
        <v>21</v>
      </c>
      <c r="P64" s="54" t="s">
        <v>23</v>
      </c>
      <c r="Q64" s="54" t="s">
        <v>24</v>
      </c>
      <c r="R64" s="54" t="s">
        <v>25</v>
      </c>
      <c r="S64" s="54" t="s">
        <v>26</v>
      </c>
      <c r="T64" s="158"/>
      <c r="U64" s="54" t="s">
        <v>27</v>
      </c>
      <c r="V64" s="54" t="s">
        <v>28</v>
      </c>
      <c r="W64" s="54" t="s">
        <v>29</v>
      </c>
      <c r="X64" s="54" t="s">
        <v>30</v>
      </c>
      <c r="Y64" s="54" t="s">
        <v>31</v>
      </c>
      <c r="Z64" s="54" t="s">
        <v>32</v>
      </c>
      <c r="AA64" s="54" t="s">
        <v>33</v>
      </c>
      <c r="AB64" s="54" t="s">
        <v>34</v>
      </c>
      <c r="AC64" s="54" t="s">
        <v>35</v>
      </c>
      <c r="AD64" s="54" t="s">
        <v>36</v>
      </c>
      <c r="AE64" s="54" t="s">
        <v>37</v>
      </c>
      <c r="AF64" s="54" t="s">
        <v>38</v>
      </c>
      <c r="AG64" s="54" t="s">
        <v>39</v>
      </c>
      <c r="AH64" s="54" t="s">
        <v>40</v>
      </c>
      <c r="AI64" s="54" t="s">
        <v>41</v>
      </c>
      <c r="AJ64" s="54" t="s">
        <v>42</v>
      </c>
      <c r="AK64" s="54" t="s">
        <v>174</v>
      </c>
    </row>
    <row r="65" spans="1:37" ht="151.9" customHeight="1" x14ac:dyDescent="0.2">
      <c r="A65" s="142"/>
      <c r="B65" s="1">
        <v>1</v>
      </c>
      <c r="C65" s="51" t="s">
        <v>229</v>
      </c>
      <c r="D65" s="38" t="s">
        <v>230</v>
      </c>
      <c r="E65" s="63" t="s">
        <v>49</v>
      </c>
      <c r="F65" s="3" t="s">
        <v>231</v>
      </c>
      <c r="G65" s="3" t="s">
        <v>50</v>
      </c>
      <c r="H65" s="28"/>
      <c r="I65" s="28"/>
      <c r="J65" s="28"/>
      <c r="K65" s="28"/>
      <c r="L65" s="28"/>
      <c r="M65" s="28"/>
      <c r="N65" s="28"/>
      <c r="O65" s="28"/>
      <c r="P65" s="28"/>
      <c r="Q65" s="28"/>
      <c r="R65" s="28"/>
      <c r="S65" s="28"/>
      <c r="T65" s="3" t="s">
        <v>51</v>
      </c>
      <c r="U65" s="87" t="s">
        <v>359</v>
      </c>
      <c r="V65" s="88">
        <f>4/10</f>
        <v>0.4</v>
      </c>
      <c r="W65" s="81" t="s">
        <v>360</v>
      </c>
      <c r="X65" s="103" t="s">
        <v>460</v>
      </c>
      <c r="Y65" s="104">
        <v>0.45</v>
      </c>
      <c r="Z65" s="105" t="s">
        <v>461</v>
      </c>
      <c r="AA65" s="3"/>
      <c r="AB65" s="3"/>
      <c r="AC65" s="2"/>
      <c r="AD65" s="3"/>
      <c r="AE65" s="3"/>
      <c r="AF65" s="3"/>
      <c r="AG65" s="11">
        <f>(4/10)*0.25</f>
        <v>0.1</v>
      </c>
      <c r="AH65" s="5">
        <f>(4.5/10)*0.25</f>
        <v>0.1125</v>
      </c>
      <c r="AI65" s="51"/>
      <c r="AJ65" s="51"/>
      <c r="AK65" s="6">
        <f>SUM(AG65:AJ65)</f>
        <v>0.21250000000000002</v>
      </c>
    </row>
    <row r="66" spans="1:37" ht="68.25" customHeight="1" x14ac:dyDescent="0.2">
      <c r="A66" s="142"/>
      <c r="B66" s="1">
        <v>2</v>
      </c>
      <c r="C66" s="144" t="s">
        <v>52</v>
      </c>
      <c r="D66" s="38" t="s">
        <v>232</v>
      </c>
      <c r="E66" s="146" t="s">
        <v>49</v>
      </c>
      <c r="F66" s="3" t="s">
        <v>156</v>
      </c>
      <c r="G66" s="3" t="s">
        <v>58</v>
      </c>
      <c r="H66" s="28"/>
      <c r="I66" s="28"/>
      <c r="J66" s="28"/>
      <c r="K66" s="28"/>
      <c r="L66" s="28"/>
      <c r="M66" s="28"/>
      <c r="N66" s="28"/>
      <c r="O66" s="28"/>
      <c r="P66" s="28"/>
      <c r="Q66" s="28"/>
      <c r="R66" s="28"/>
      <c r="S66" s="28"/>
      <c r="T66" s="3" t="s">
        <v>51</v>
      </c>
      <c r="U66" s="87" t="s">
        <v>361</v>
      </c>
      <c r="V66" s="88">
        <f>28/28</f>
        <v>1</v>
      </c>
      <c r="W66" s="81" t="s">
        <v>362</v>
      </c>
      <c r="X66" s="106" t="s">
        <v>462</v>
      </c>
      <c r="Y66" s="104">
        <v>1</v>
      </c>
      <c r="Z66" s="105" t="s">
        <v>463</v>
      </c>
      <c r="AA66" s="3"/>
      <c r="AB66" s="4"/>
      <c r="AC66" s="2"/>
      <c r="AD66" s="3"/>
      <c r="AE66" s="12"/>
      <c r="AF66" s="12"/>
      <c r="AG66" s="11">
        <v>0.25</v>
      </c>
      <c r="AH66" s="4">
        <f>(58/58)*0.25</f>
        <v>0.25</v>
      </c>
      <c r="AI66" s="4"/>
      <c r="AJ66" s="51"/>
      <c r="AK66" s="6">
        <f t="shared" ref="AK66:AK75" si="4">SUM(AG66:AJ66)</f>
        <v>0.5</v>
      </c>
    </row>
    <row r="67" spans="1:37" ht="99" customHeight="1" x14ac:dyDescent="0.2">
      <c r="A67" s="142"/>
      <c r="B67" s="1">
        <v>3</v>
      </c>
      <c r="C67" s="145"/>
      <c r="D67" s="38" t="s">
        <v>233</v>
      </c>
      <c r="E67" s="146"/>
      <c r="F67" s="51" t="s">
        <v>53</v>
      </c>
      <c r="G67" s="3" t="s">
        <v>234</v>
      </c>
      <c r="H67" s="28"/>
      <c r="I67" s="28"/>
      <c r="J67" s="28"/>
      <c r="K67" s="28"/>
      <c r="L67" s="28"/>
      <c r="M67" s="28"/>
      <c r="N67" s="28"/>
      <c r="O67" s="28"/>
      <c r="P67" s="28"/>
      <c r="Q67" s="28"/>
      <c r="R67" s="28"/>
      <c r="S67" s="28"/>
      <c r="T67" s="3" t="s">
        <v>51</v>
      </c>
      <c r="U67" s="89" t="s">
        <v>363</v>
      </c>
      <c r="V67" s="88">
        <f>8/28</f>
        <v>0.2857142857142857</v>
      </c>
      <c r="W67" s="81" t="s">
        <v>364</v>
      </c>
      <c r="X67" s="106" t="s">
        <v>464</v>
      </c>
      <c r="Y67" s="104">
        <v>0.25641025641025639</v>
      </c>
      <c r="Z67" s="105" t="s">
        <v>463</v>
      </c>
      <c r="AA67" s="10"/>
      <c r="AB67" s="26"/>
      <c r="AC67" s="2"/>
      <c r="AD67" s="3"/>
      <c r="AE67" s="12"/>
      <c r="AF67" s="12"/>
      <c r="AG67" s="11">
        <f>(8/28)*0.25</f>
        <v>7.1428571428571425E-2</v>
      </c>
      <c r="AH67" s="4">
        <f>(20/78)*0.25</f>
        <v>6.4102564102564097E-2</v>
      </c>
      <c r="AI67" s="4"/>
      <c r="AJ67" s="51"/>
      <c r="AK67" s="6">
        <f t="shared" si="4"/>
        <v>0.13553113553113552</v>
      </c>
    </row>
    <row r="68" spans="1:37" ht="99" customHeight="1" x14ac:dyDescent="0.25">
      <c r="A68" s="142"/>
      <c r="B68" s="1">
        <v>4</v>
      </c>
      <c r="C68" s="51" t="s">
        <v>235</v>
      </c>
      <c r="D68" s="38" t="s">
        <v>236</v>
      </c>
      <c r="E68" s="146" t="s">
        <v>49</v>
      </c>
      <c r="F68" s="51" t="s">
        <v>237</v>
      </c>
      <c r="G68" s="3" t="s">
        <v>58</v>
      </c>
      <c r="H68" s="28"/>
      <c r="I68" s="28"/>
      <c r="J68" s="28"/>
      <c r="K68" s="28"/>
      <c r="L68" s="28"/>
      <c r="M68" s="28"/>
      <c r="N68" s="28"/>
      <c r="O68" s="28"/>
      <c r="P68" s="28"/>
      <c r="Q68" s="28"/>
      <c r="R68" s="28"/>
      <c r="S68" s="28"/>
      <c r="T68" s="3" t="s">
        <v>51</v>
      </c>
      <c r="U68" s="90" t="s">
        <v>365</v>
      </c>
      <c r="V68" s="91">
        <f>133026/133026</f>
        <v>1</v>
      </c>
      <c r="W68" s="92" t="s">
        <v>366</v>
      </c>
      <c r="X68" s="107" t="s">
        <v>465</v>
      </c>
      <c r="Y68" s="107">
        <v>1</v>
      </c>
      <c r="Z68" s="105" t="s">
        <v>366</v>
      </c>
      <c r="AA68" s="18" t="s">
        <v>238</v>
      </c>
      <c r="AB68" s="17">
        <f>1412/1412</f>
        <v>1</v>
      </c>
      <c r="AC68" s="38" t="s">
        <v>239</v>
      </c>
      <c r="AD68" s="82" t="s">
        <v>240</v>
      </c>
      <c r="AE68" s="9">
        <f>4466/4466</f>
        <v>1</v>
      </c>
      <c r="AF68" s="38" t="s">
        <v>241</v>
      </c>
      <c r="AG68" s="17">
        <v>0.25</v>
      </c>
      <c r="AH68" s="4">
        <v>0.25</v>
      </c>
      <c r="AI68" s="4"/>
      <c r="AJ68" s="4"/>
      <c r="AK68" s="6">
        <f t="shared" si="4"/>
        <v>0.5</v>
      </c>
    </row>
    <row r="69" spans="1:37" ht="88.5" customHeight="1" x14ac:dyDescent="0.25">
      <c r="A69" s="142"/>
      <c r="B69" s="1">
        <v>5</v>
      </c>
      <c r="C69" s="51" t="s">
        <v>242</v>
      </c>
      <c r="D69" s="38" t="s">
        <v>243</v>
      </c>
      <c r="E69" s="146"/>
      <c r="F69" s="51" t="s">
        <v>244</v>
      </c>
      <c r="G69" s="3" t="s">
        <v>58</v>
      </c>
      <c r="H69" s="28"/>
      <c r="I69" s="28"/>
      <c r="J69" s="28"/>
      <c r="K69" s="28"/>
      <c r="L69" s="28"/>
      <c r="M69" s="28"/>
      <c r="N69" s="28"/>
      <c r="O69" s="28"/>
      <c r="P69" s="28"/>
      <c r="Q69" s="28"/>
      <c r="R69" s="28"/>
      <c r="S69" s="28"/>
      <c r="T69" s="51" t="s">
        <v>54</v>
      </c>
      <c r="U69" s="11" t="s">
        <v>468</v>
      </c>
      <c r="V69" s="93">
        <f>1417/1148</f>
        <v>1.2343205574912892</v>
      </c>
      <c r="W69" s="11" t="s">
        <v>469</v>
      </c>
      <c r="X69" s="108" t="s">
        <v>466</v>
      </c>
      <c r="Y69" s="32">
        <v>2.89</v>
      </c>
      <c r="Z69" s="109" t="s">
        <v>467</v>
      </c>
      <c r="AA69" s="17"/>
      <c r="AB69" s="17"/>
      <c r="AC69" s="15"/>
      <c r="AD69" s="17"/>
      <c r="AE69" s="17"/>
      <c r="AF69" s="17"/>
      <c r="AG69" s="17">
        <f>(((1417/1148)*1.05)*1)*0.25</f>
        <v>0.32400914634146344</v>
      </c>
      <c r="AH69" s="17">
        <f>(((1287/445)*1.05)*1)*0.25</f>
        <v>0.75918539325842693</v>
      </c>
      <c r="AI69" s="17"/>
      <c r="AJ69" s="31"/>
      <c r="AK69" s="6">
        <f t="shared" si="4"/>
        <v>1.0831945395998903</v>
      </c>
    </row>
    <row r="70" spans="1:37" ht="96" customHeight="1" x14ac:dyDescent="0.25">
      <c r="A70" s="142"/>
      <c r="B70" s="1">
        <v>6</v>
      </c>
      <c r="C70" s="51" t="s">
        <v>247</v>
      </c>
      <c r="D70" s="38" t="s">
        <v>248</v>
      </c>
      <c r="E70" s="146" t="s">
        <v>49</v>
      </c>
      <c r="F70" s="51" t="s">
        <v>249</v>
      </c>
      <c r="G70" s="3" t="s">
        <v>58</v>
      </c>
      <c r="H70" s="28"/>
      <c r="I70" s="28"/>
      <c r="J70" s="28"/>
      <c r="K70" s="28"/>
      <c r="L70" s="28"/>
      <c r="M70" s="28"/>
      <c r="N70" s="28"/>
      <c r="O70" s="28"/>
      <c r="P70" s="28"/>
      <c r="Q70" s="28"/>
      <c r="R70" s="28"/>
      <c r="S70" s="28"/>
      <c r="T70" s="51" t="s">
        <v>54</v>
      </c>
      <c r="U70" s="94" t="s">
        <v>367</v>
      </c>
      <c r="V70" s="94" t="s">
        <v>367</v>
      </c>
      <c r="W70" s="94" t="s">
        <v>367</v>
      </c>
      <c r="X70" s="110" t="s">
        <v>470</v>
      </c>
      <c r="Y70" s="110" t="s">
        <v>470</v>
      </c>
      <c r="Z70" s="110" t="s">
        <v>470</v>
      </c>
      <c r="AA70" s="17"/>
      <c r="AB70" s="17"/>
      <c r="AC70" s="15"/>
      <c r="AD70" s="17"/>
      <c r="AE70" s="17"/>
      <c r="AF70" s="17"/>
      <c r="AG70" s="17" t="s">
        <v>387</v>
      </c>
      <c r="AH70" s="17"/>
      <c r="AI70" s="17"/>
      <c r="AJ70" s="20"/>
      <c r="AK70" s="6">
        <f t="shared" si="4"/>
        <v>0</v>
      </c>
    </row>
    <row r="71" spans="1:37" ht="90" customHeight="1" thickBot="1" x14ac:dyDescent="0.3">
      <c r="A71" s="142"/>
      <c r="B71" s="1">
        <v>7</v>
      </c>
      <c r="C71" s="111" t="s">
        <v>252</v>
      </c>
      <c r="D71" s="38" t="s">
        <v>253</v>
      </c>
      <c r="E71" s="146"/>
      <c r="F71" s="51" t="s">
        <v>254</v>
      </c>
      <c r="G71" s="17" t="s">
        <v>57</v>
      </c>
      <c r="H71" s="28"/>
      <c r="I71" s="28"/>
      <c r="J71" s="28"/>
      <c r="K71" s="28"/>
      <c r="L71" s="28"/>
      <c r="M71" s="28"/>
      <c r="N71" s="28"/>
      <c r="O71" s="28"/>
      <c r="P71" s="28"/>
      <c r="Q71" s="28"/>
      <c r="R71" s="28"/>
      <c r="S71" s="28"/>
      <c r="T71" s="51" t="s">
        <v>54</v>
      </c>
      <c r="U71" s="133" t="s">
        <v>471</v>
      </c>
      <c r="V71" s="134">
        <f>2258/2258</f>
        <v>1</v>
      </c>
      <c r="W71" s="134" t="s">
        <v>472</v>
      </c>
      <c r="X71" s="134" t="s">
        <v>473</v>
      </c>
      <c r="Y71" s="134">
        <v>1</v>
      </c>
      <c r="Z71" s="134" t="s">
        <v>474</v>
      </c>
      <c r="AA71" s="114"/>
      <c r="AB71" s="114"/>
      <c r="AC71" s="15"/>
      <c r="AD71" s="114"/>
      <c r="AE71" s="114"/>
      <c r="AF71" s="114"/>
      <c r="AG71" s="114">
        <v>0.25</v>
      </c>
      <c r="AH71" s="114">
        <v>0.25</v>
      </c>
      <c r="AI71" s="17"/>
      <c r="AJ71" s="20"/>
      <c r="AK71" s="6">
        <f t="shared" si="4"/>
        <v>0.5</v>
      </c>
    </row>
    <row r="72" spans="1:37" ht="90" customHeight="1" x14ac:dyDescent="0.25">
      <c r="A72" s="142"/>
      <c r="B72" s="1">
        <v>8</v>
      </c>
      <c r="C72" s="111" t="s">
        <v>250</v>
      </c>
      <c r="D72" s="38" t="s">
        <v>251</v>
      </c>
      <c r="E72" s="146" t="s">
        <v>49</v>
      </c>
      <c r="F72" s="51" t="s">
        <v>246</v>
      </c>
      <c r="G72" s="17" t="s">
        <v>57</v>
      </c>
      <c r="H72" s="28"/>
      <c r="I72" s="28"/>
      <c r="J72" s="28"/>
      <c r="K72" s="28"/>
      <c r="L72" s="28"/>
      <c r="M72" s="28"/>
      <c r="N72" s="28"/>
      <c r="O72" s="28"/>
      <c r="P72" s="28"/>
      <c r="Q72" s="28"/>
      <c r="R72" s="28"/>
      <c r="S72" s="28"/>
      <c r="T72" s="51" t="s">
        <v>54</v>
      </c>
      <c r="U72" s="133" t="s">
        <v>475</v>
      </c>
      <c r="V72" s="135">
        <f>17782/17782</f>
        <v>1</v>
      </c>
      <c r="W72" s="94" t="s">
        <v>367</v>
      </c>
      <c r="X72" s="114" t="s">
        <v>473</v>
      </c>
      <c r="Y72" s="114">
        <v>1</v>
      </c>
      <c r="Z72" s="15" t="s">
        <v>474</v>
      </c>
      <c r="AA72" s="114"/>
      <c r="AB72" s="114"/>
      <c r="AC72" s="15"/>
      <c r="AD72" s="114"/>
      <c r="AE72" s="114"/>
      <c r="AF72" s="114"/>
      <c r="AG72" s="114">
        <f>(17782/17782)*0.25</f>
        <v>0.25</v>
      </c>
      <c r="AH72" s="114">
        <v>0.25</v>
      </c>
      <c r="AI72" s="17"/>
      <c r="AJ72" s="20"/>
      <c r="AK72" s="6">
        <f t="shared" si="4"/>
        <v>0.5</v>
      </c>
    </row>
    <row r="73" spans="1:37" ht="93" customHeight="1" x14ac:dyDescent="0.25">
      <c r="A73" s="142"/>
      <c r="B73" s="1">
        <v>9</v>
      </c>
      <c r="C73" s="51" t="s">
        <v>245</v>
      </c>
      <c r="D73" s="38" t="s">
        <v>55</v>
      </c>
      <c r="E73" s="146"/>
      <c r="F73" s="51" t="s">
        <v>56</v>
      </c>
      <c r="G73" s="17" t="s">
        <v>57</v>
      </c>
      <c r="H73" s="28"/>
      <c r="I73" s="28"/>
      <c r="J73" s="28"/>
      <c r="K73" s="28"/>
      <c r="L73" s="28"/>
      <c r="M73" s="28"/>
      <c r="N73" s="28"/>
      <c r="O73" s="28"/>
      <c r="P73" s="28"/>
      <c r="Q73" s="28"/>
      <c r="R73" s="28"/>
      <c r="S73" s="28"/>
      <c r="T73" s="51" t="s">
        <v>54</v>
      </c>
      <c r="U73" s="136" t="s">
        <v>368</v>
      </c>
      <c r="V73" s="135">
        <f>665/747</f>
        <v>0.89022757697456489</v>
      </c>
      <c r="W73" s="94" t="s">
        <v>367</v>
      </c>
      <c r="X73" s="114" t="s">
        <v>513</v>
      </c>
      <c r="Y73" s="114">
        <v>0.96</v>
      </c>
      <c r="Z73" s="15" t="s">
        <v>514</v>
      </c>
      <c r="AA73" s="114"/>
      <c r="AB73" s="114"/>
      <c r="AC73" s="15"/>
      <c r="AD73" s="114"/>
      <c r="AE73" s="114"/>
      <c r="AF73" s="114"/>
      <c r="AG73" s="114">
        <f>(665/715)*0.25</f>
        <v>0.23251748251748253</v>
      </c>
      <c r="AH73" s="114">
        <f>+(0.959074733096085)*0.25</f>
        <v>0.23976868327402134</v>
      </c>
      <c r="AI73" s="17"/>
      <c r="AJ73" s="31"/>
      <c r="AK73" s="6">
        <f t="shared" si="4"/>
        <v>0.47228616579150384</v>
      </c>
    </row>
    <row r="74" spans="1:37" ht="114.75" customHeight="1" x14ac:dyDescent="0.25">
      <c r="A74" s="142"/>
      <c r="B74" s="1">
        <v>10</v>
      </c>
      <c r="C74" s="53" t="s">
        <v>269</v>
      </c>
      <c r="D74" s="38" t="s">
        <v>258</v>
      </c>
      <c r="E74" s="64" t="s">
        <v>49</v>
      </c>
      <c r="F74" s="51" t="s">
        <v>259</v>
      </c>
      <c r="G74" s="17" t="s">
        <v>58</v>
      </c>
      <c r="H74" s="28"/>
      <c r="I74" s="28"/>
      <c r="J74" s="28"/>
      <c r="K74" s="28"/>
      <c r="L74" s="28"/>
      <c r="M74" s="28"/>
      <c r="N74" s="28"/>
      <c r="O74" s="28"/>
      <c r="P74" s="28"/>
      <c r="Q74" s="28"/>
      <c r="R74" s="28"/>
      <c r="S74" s="28"/>
      <c r="T74" s="51" t="s">
        <v>278</v>
      </c>
      <c r="U74" s="121" t="s">
        <v>369</v>
      </c>
      <c r="V74" s="120">
        <f>((2944/2264)*100%)</f>
        <v>1.3003533568904593</v>
      </c>
      <c r="W74" s="122" t="s">
        <v>370</v>
      </c>
      <c r="X74" s="101" t="s">
        <v>515</v>
      </c>
      <c r="Y74" s="101">
        <v>1</v>
      </c>
      <c r="Z74" s="119" t="s">
        <v>516</v>
      </c>
      <c r="AA74" s="101"/>
      <c r="AB74" s="123"/>
      <c r="AC74" s="119"/>
      <c r="AD74" s="101"/>
      <c r="AE74" s="101"/>
      <c r="AF74" s="101"/>
      <c r="AG74" s="101">
        <f>(2944/2264)*0.25</f>
        <v>0.32508833922261482</v>
      </c>
      <c r="AH74" s="101">
        <f>+(6097/2533)*0.25</f>
        <v>0.60175681010659299</v>
      </c>
      <c r="AI74" s="17"/>
      <c r="AJ74" s="20"/>
      <c r="AK74" s="6">
        <f t="shared" si="4"/>
        <v>0.92684514932920781</v>
      </c>
    </row>
    <row r="75" spans="1:37" ht="192" customHeight="1" x14ac:dyDescent="0.25">
      <c r="A75" s="143"/>
      <c r="B75" s="1">
        <v>11</v>
      </c>
      <c r="C75" s="51" t="s">
        <v>255</v>
      </c>
      <c r="D75" s="38" t="s">
        <v>257</v>
      </c>
      <c r="E75" s="64"/>
      <c r="F75" s="51" t="s">
        <v>256</v>
      </c>
      <c r="G75" s="3" t="s">
        <v>58</v>
      </c>
      <c r="H75" s="51"/>
      <c r="I75" s="28"/>
      <c r="J75" s="28"/>
      <c r="K75" s="28"/>
      <c r="L75" s="28"/>
      <c r="M75" s="28"/>
      <c r="N75" s="28"/>
      <c r="O75" s="28"/>
      <c r="P75" s="28"/>
      <c r="Q75" s="28"/>
      <c r="R75" s="28"/>
      <c r="S75" s="28"/>
      <c r="T75" s="51" t="s">
        <v>294</v>
      </c>
      <c r="U75" s="124" t="s">
        <v>371</v>
      </c>
      <c r="V75" s="120">
        <v>0.8</v>
      </c>
      <c r="W75" s="122" t="s">
        <v>372</v>
      </c>
      <c r="X75" s="125" t="s">
        <v>517</v>
      </c>
      <c r="Y75" s="101">
        <v>0.8</v>
      </c>
      <c r="Z75" s="102" t="s">
        <v>518</v>
      </c>
      <c r="AA75" s="125"/>
      <c r="AB75" s="101"/>
      <c r="AC75" s="102"/>
      <c r="AD75" s="126"/>
      <c r="AE75" s="127"/>
      <c r="AF75" s="128"/>
      <c r="AG75" s="101">
        <f>(25/10)*0.25</f>
        <v>0.625</v>
      </c>
      <c r="AH75" s="129">
        <f>+(4/5)*1</f>
        <v>0.8</v>
      </c>
      <c r="AI75" s="9"/>
      <c r="AJ75" s="51"/>
      <c r="AK75" s="6">
        <f t="shared" si="4"/>
        <v>1.425</v>
      </c>
    </row>
    <row r="76" spans="1:37" ht="45.75" customHeight="1" x14ac:dyDescent="0.25">
      <c r="A76" s="138" t="s">
        <v>59</v>
      </c>
      <c r="B76" s="139"/>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40"/>
    </row>
    <row r="77" spans="1:37" ht="66.75" customHeight="1" x14ac:dyDescent="0.25">
      <c r="A77" s="141" t="s">
        <v>59</v>
      </c>
      <c r="B77" s="157" t="s">
        <v>6</v>
      </c>
      <c r="C77" s="157" t="s">
        <v>148</v>
      </c>
      <c r="D77" s="157" t="s">
        <v>7</v>
      </c>
      <c r="E77" s="157" t="s">
        <v>8</v>
      </c>
      <c r="F77" s="157" t="s">
        <v>9</v>
      </c>
      <c r="G77" s="157" t="s">
        <v>10</v>
      </c>
      <c r="H77" s="154" t="s">
        <v>11</v>
      </c>
      <c r="I77" s="155"/>
      <c r="J77" s="155"/>
      <c r="K77" s="155"/>
      <c r="L77" s="155"/>
      <c r="M77" s="155"/>
      <c r="N77" s="155"/>
      <c r="O77" s="155"/>
      <c r="P77" s="155"/>
      <c r="Q77" s="155"/>
      <c r="R77" s="155"/>
      <c r="S77" s="156"/>
      <c r="T77" s="157" t="s">
        <v>12</v>
      </c>
      <c r="U77" s="154" t="s">
        <v>13</v>
      </c>
      <c r="V77" s="155"/>
      <c r="W77" s="156"/>
      <c r="X77" s="154" t="s">
        <v>14</v>
      </c>
      <c r="Y77" s="155"/>
      <c r="Z77" s="156"/>
      <c r="AA77" s="154" t="s">
        <v>15</v>
      </c>
      <c r="AB77" s="155"/>
      <c r="AC77" s="156"/>
      <c r="AD77" s="154" t="s">
        <v>16</v>
      </c>
      <c r="AE77" s="155"/>
      <c r="AF77" s="156"/>
      <c r="AG77" s="154" t="s">
        <v>17</v>
      </c>
      <c r="AH77" s="155"/>
      <c r="AI77" s="155"/>
      <c r="AJ77" s="155"/>
      <c r="AK77" s="156"/>
    </row>
    <row r="78" spans="1:37" ht="38.25" customHeight="1" x14ac:dyDescent="0.25">
      <c r="A78" s="142"/>
      <c r="B78" s="158"/>
      <c r="C78" s="158"/>
      <c r="D78" s="158"/>
      <c r="E78" s="158"/>
      <c r="F78" s="158"/>
      <c r="G78" s="158"/>
      <c r="H78" s="54" t="s">
        <v>18</v>
      </c>
      <c r="I78" s="54" t="s">
        <v>19</v>
      </c>
      <c r="J78" s="54" t="s">
        <v>20</v>
      </c>
      <c r="K78" s="54" t="s">
        <v>21</v>
      </c>
      <c r="L78" s="54" t="s">
        <v>20</v>
      </c>
      <c r="M78" s="54" t="s">
        <v>22</v>
      </c>
      <c r="N78" s="54" t="s">
        <v>22</v>
      </c>
      <c r="O78" s="54" t="s">
        <v>21</v>
      </c>
      <c r="P78" s="54" t="s">
        <v>23</v>
      </c>
      <c r="Q78" s="54" t="s">
        <v>24</v>
      </c>
      <c r="R78" s="54" t="s">
        <v>25</v>
      </c>
      <c r="S78" s="54" t="s">
        <v>26</v>
      </c>
      <c r="T78" s="158"/>
      <c r="U78" s="54" t="s">
        <v>27</v>
      </c>
      <c r="V78" s="54" t="s">
        <v>28</v>
      </c>
      <c r="W78" s="54" t="s">
        <v>29</v>
      </c>
      <c r="X78" s="54" t="s">
        <v>30</v>
      </c>
      <c r="Y78" s="54" t="s">
        <v>31</v>
      </c>
      <c r="Z78" s="54" t="s">
        <v>32</v>
      </c>
      <c r="AA78" s="54" t="s">
        <v>33</v>
      </c>
      <c r="AB78" s="54" t="s">
        <v>34</v>
      </c>
      <c r="AC78" s="54" t="s">
        <v>35</v>
      </c>
      <c r="AD78" s="54" t="s">
        <v>36</v>
      </c>
      <c r="AE78" s="54" t="s">
        <v>37</v>
      </c>
      <c r="AF78" s="54" t="s">
        <v>38</v>
      </c>
      <c r="AG78" s="54" t="s">
        <v>39</v>
      </c>
      <c r="AH78" s="54" t="s">
        <v>40</v>
      </c>
      <c r="AI78" s="54" t="s">
        <v>41</v>
      </c>
      <c r="AJ78" s="54" t="s">
        <v>42</v>
      </c>
      <c r="AK78" s="54" t="s">
        <v>174</v>
      </c>
    </row>
    <row r="79" spans="1:37" ht="74.25" customHeight="1" x14ac:dyDescent="0.25">
      <c r="A79" s="142"/>
      <c r="B79" s="1">
        <v>1</v>
      </c>
      <c r="C79" s="51" t="s">
        <v>168</v>
      </c>
      <c r="D79" s="38" t="s">
        <v>379</v>
      </c>
      <c r="E79" s="51" t="s">
        <v>43</v>
      </c>
      <c r="F79" s="51" t="s">
        <v>60</v>
      </c>
      <c r="G79" s="51">
        <v>1</v>
      </c>
      <c r="H79" s="28"/>
      <c r="I79" s="51"/>
      <c r="J79" s="51"/>
      <c r="K79" s="51"/>
      <c r="L79" s="51"/>
      <c r="M79" s="51"/>
      <c r="N79" s="51"/>
      <c r="O79" s="51"/>
      <c r="P79" s="51"/>
      <c r="Q79" s="51"/>
      <c r="R79" s="51"/>
      <c r="S79" s="51"/>
      <c r="T79" s="51" t="s">
        <v>61</v>
      </c>
      <c r="U79" s="18" t="s">
        <v>378</v>
      </c>
      <c r="V79" s="17">
        <v>1</v>
      </c>
      <c r="W79" s="38" t="s">
        <v>380</v>
      </c>
      <c r="X79" s="167" t="s">
        <v>488</v>
      </c>
      <c r="Y79" s="168"/>
      <c r="Z79" s="169"/>
      <c r="AA79" s="18"/>
      <c r="AB79" s="17"/>
      <c r="AC79" s="38"/>
      <c r="AD79" s="51"/>
      <c r="AE79" s="15"/>
      <c r="AF79" s="38"/>
      <c r="AG79" s="17">
        <v>1</v>
      </c>
      <c r="AH79" s="5"/>
      <c r="AI79" s="5"/>
      <c r="AJ79" s="5"/>
      <c r="AK79" s="6">
        <f>SUM(AG79:AJ79)</f>
        <v>1</v>
      </c>
    </row>
    <row r="80" spans="1:37" ht="102.75" customHeight="1" x14ac:dyDescent="0.25">
      <c r="A80" s="142"/>
      <c r="B80" s="1">
        <v>2</v>
      </c>
      <c r="C80" s="51" t="s">
        <v>164</v>
      </c>
      <c r="D80" s="38" t="s">
        <v>165</v>
      </c>
      <c r="E80" s="51" t="s">
        <v>43</v>
      </c>
      <c r="F80" s="51" t="s">
        <v>62</v>
      </c>
      <c r="G80" s="51">
        <v>12</v>
      </c>
      <c r="H80" s="28"/>
      <c r="I80" s="28"/>
      <c r="J80" s="28"/>
      <c r="K80" s="28"/>
      <c r="L80" s="28"/>
      <c r="M80" s="28"/>
      <c r="N80" s="28"/>
      <c r="O80" s="28"/>
      <c r="P80" s="28"/>
      <c r="Q80" s="28"/>
      <c r="R80" s="28"/>
      <c r="S80" s="28"/>
      <c r="T80" s="51" t="s">
        <v>61</v>
      </c>
      <c r="U80" s="18" t="s">
        <v>476</v>
      </c>
      <c r="V80" s="17">
        <v>0.25</v>
      </c>
      <c r="W80" s="38" t="s">
        <v>381</v>
      </c>
      <c r="X80" s="18" t="s">
        <v>421</v>
      </c>
      <c r="Y80" s="17">
        <v>0.25</v>
      </c>
      <c r="Z80" s="38" t="s">
        <v>381</v>
      </c>
      <c r="AA80" s="18"/>
      <c r="AB80" s="17"/>
      <c r="AC80" s="38"/>
      <c r="AD80" s="51"/>
      <c r="AE80" s="15"/>
      <c r="AF80" s="38"/>
      <c r="AG80" s="17">
        <v>0.25</v>
      </c>
      <c r="AH80" s="17">
        <v>0.25</v>
      </c>
      <c r="AI80" s="17"/>
      <c r="AJ80" s="31"/>
      <c r="AK80" s="6">
        <f t="shared" ref="AK80:AK85" si="5">SUM(AG80:AJ80)</f>
        <v>0.5</v>
      </c>
    </row>
    <row r="81" spans="1:37" ht="87" customHeight="1" x14ac:dyDescent="0.25">
      <c r="A81" s="142"/>
      <c r="B81" s="1">
        <v>3</v>
      </c>
      <c r="C81" s="51" t="s">
        <v>166</v>
      </c>
      <c r="D81" s="38" t="s">
        <v>167</v>
      </c>
      <c r="E81" s="51" t="s">
        <v>43</v>
      </c>
      <c r="F81" s="51" t="s">
        <v>62</v>
      </c>
      <c r="G81" s="51">
        <v>4</v>
      </c>
      <c r="H81" s="28"/>
      <c r="I81" s="51"/>
      <c r="J81" s="51"/>
      <c r="K81" s="28"/>
      <c r="L81" s="51"/>
      <c r="M81" s="51"/>
      <c r="N81" s="28"/>
      <c r="O81" s="3"/>
      <c r="P81" s="51"/>
      <c r="Q81" s="28"/>
      <c r="R81" s="51"/>
      <c r="S81" s="51"/>
      <c r="T81" s="51" t="s">
        <v>61</v>
      </c>
      <c r="U81" s="18" t="s">
        <v>478</v>
      </c>
      <c r="V81" s="17">
        <v>0.25</v>
      </c>
      <c r="W81" s="38" t="s">
        <v>382</v>
      </c>
      <c r="X81" s="18" t="s">
        <v>479</v>
      </c>
      <c r="Y81" s="17">
        <v>0.25</v>
      </c>
      <c r="Z81" s="38" t="s">
        <v>477</v>
      </c>
      <c r="AA81" s="18"/>
      <c r="AB81" s="17"/>
      <c r="AC81" s="38"/>
      <c r="AD81" s="51"/>
      <c r="AE81" s="15"/>
      <c r="AF81" s="38"/>
      <c r="AG81" s="17">
        <v>0.25</v>
      </c>
      <c r="AH81" s="17">
        <v>0.25</v>
      </c>
      <c r="AI81" s="17"/>
      <c r="AJ81" s="31"/>
      <c r="AK81" s="6">
        <f t="shared" si="5"/>
        <v>0.5</v>
      </c>
    </row>
    <row r="82" spans="1:37" ht="96.75" customHeight="1" x14ac:dyDescent="0.25">
      <c r="A82" s="142"/>
      <c r="B82" s="1">
        <v>4</v>
      </c>
      <c r="C82" s="51" t="s">
        <v>169</v>
      </c>
      <c r="D82" s="38" t="s">
        <v>170</v>
      </c>
      <c r="E82" s="51" t="s">
        <v>43</v>
      </c>
      <c r="F82" s="51" t="s">
        <v>63</v>
      </c>
      <c r="G82" s="17">
        <v>1</v>
      </c>
      <c r="H82" s="28"/>
      <c r="I82" s="28"/>
      <c r="J82" s="28"/>
      <c r="K82" s="28"/>
      <c r="L82" s="28"/>
      <c r="M82" s="28"/>
      <c r="N82" s="28"/>
      <c r="O82" s="28"/>
      <c r="P82" s="28"/>
      <c r="Q82" s="28"/>
      <c r="R82" s="28"/>
      <c r="S82" s="28"/>
      <c r="T82" s="51" t="s">
        <v>61</v>
      </c>
      <c r="U82" s="18" t="s">
        <v>383</v>
      </c>
      <c r="V82" s="17">
        <v>1</v>
      </c>
      <c r="W82" s="15" t="s">
        <v>384</v>
      </c>
      <c r="X82" s="18" t="s">
        <v>480</v>
      </c>
      <c r="Y82" s="17">
        <v>1</v>
      </c>
      <c r="Z82" s="15" t="s">
        <v>384</v>
      </c>
      <c r="AA82" s="18"/>
      <c r="AB82" s="17"/>
      <c r="AC82" s="15"/>
      <c r="AD82" s="17"/>
      <c r="AE82" s="15"/>
      <c r="AF82" s="15"/>
      <c r="AG82" s="17">
        <v>0.25</v>
      </c>
      <c r="AH82" s="17">
        <v>0.25</v>
      </c>
      <c r="AI82" s="17"/>
      <c r="AJ82" s="31"/>
      <c r="AK82" s="6">
        <f t="shared" si="5"/>
        <v>0.5</v>
      </c>
    </row>
    <row r="83" spans="1:37" ht="89.25" customHeight="1" x14ac:dyDescent="0.25">
      <c r="A83" s="142"/>
      <c r="B83" s="1">
        <v>5</v>
      </c>
      <c r="C83" s="51" t="s">
        <v>65</v>
      </c>
      <c r="D83" s="38" t="s">
        <v>64</v>
      </c>
      <c r="E83" s="51" t="s">
        <v>43</v>
      </c>
      <c r="F83" s="51" t="s">
        <v>66</v>
      </c>
      <c r="G83" s="51">
        <v>1</v>
      </c>
      <c r="H83" s="28"/>
      <c r="I83" s="28"/>
      <c r="J83" s="28"/>
      <c r="K83" s="28"/>
      <c r="L83" s="28"/>
      <c r="M83" s="28"/>
      <c r="N83" s="28"/>
      <c r="O83" s="28"/>
      <c r="P83" s="28"/>
      <c r="Q83" s="28"/>
      <c r="R83" s="28"/>
      <c r="S83" s="28"/>
      <c r="T83" s="51" t="s">
        <v>61</v>
      </c>
      <c r="U83" s="18" t="s">
        <v>478</v>
      </c>
      <c r="V83" s="17">
        <v>0.25</v>
      </c>
      <c r="W83" s="15" t="s">
        <v>386</v>
      </c>
      <c r="X83" s="18" t="s">
        <v>479</v>
      </c>
      <c r="Y83" s="17">
        <v>0.25</v>
      </c>
      <c r="Z83" s="15" t="s">
        <v>481</v>
      </c>
      <c r="AA83" s="18"/>
      <c r="AB83" s="17"/>
      <c r="AC83" s="15"/>
      <c r="AD83" s="17"/>
      <c r="AE83" s="15"/>
      <c r="AF83" s="15"/>
      <c r="AG83" s="17">
        <v>0.25</v>
      </c>
      <c r="AH83" s="5">
        <v>0.25</v>
      </c>
      <c r="AI83" s="5"/>
      <c r="AJ83" s="5"/>
      <c r="AK83" s="6">
        <f t="shared" si="5"/>
        <v>0.5</v>
      </c>
    </row>
    <row r="84" spans="1:37" ht="125.25" customHeight="1" x14ac:dyDescent="0.25">
      <c r="A84" s="142"/>
      <c r="B84" s="1">
        <v>6</v>
      </c>
      <c r="C84" s="51" t="s">
        <v>271</v>
      </c>
      <c r="D84" s="38" t="s">
        <v>163</v>
      </c>
      <c r="E84" s="51" t="s">
        <v>43</v>
      </c>
      <c r="F84" s="51" t="s">
        <v>67</v>
      </c>
      <c r="G84" s="51">
        <v>2</v>
      </c>
      <c r="H84" s="28"/>
      <c r="I84" s="3"/>
      <c r="J84" s="3"/>
      <c r="K84" s="3"/>
      <c r="L84" s="3"/>
      <c r="M84" s="28"/>
      <c r="N84" s="3"/>
      <c r="O84" s="3"/>
      <c r="P84" s="3"/>
      <c r="Q84" s="28"/>
      <c r="R84" s="3"/>
      <c r="S84" s="3"/>
      <c r="T84" s="51" t="s">
        <v>61</v>
      </c>
      <c r="U84" s="18" t="s">
        <v>484</v>
      </c>
      <c r="V84" s="17">
        <v>0.5</v>
      </c>
      <c r="W84" s="38" t="s">
        <v>482</v>
      </c>
      <c r="X84" s="18" t="s">
        <v>485</v>
      </c>
      <c r="Y84" s="17">
        <v>0.5</v>
      </c>
      <c r="Z84" s="38" t="s">
        <v>483</v>
      </c>
      <c r="AA84" s="18"/>
      <c r="AB84" s="17"/>
      <c r="AC84" s="38"/>
      <c r="AD84" s="51"/>
      <c r="AE84" s="38"/>
      <c r="AF84" s="38"/>
      <c r="AG84" s="17">
        <v>0.5</v>
      </c>
      <c r="AH84" s="17">
        <v>0.5</v>
      </c>
      <c r="AI84" s="17"/>
      <c r="AJ84" s="38"/>
      <c r="AK84" s="6">
        <f t="shared" si="5"/>
        <v>1</v>
      </c>
    </row>
    <row r="85" spans="1:37" ht="125.25" customHeight="1" x14ac:dyDescent="0.25">
      <c r="A85" s="143"/>
      <c r="B85" s="1">
        <v>7</v>
      </c>
      <c r="C85" s="38" t="s">
        <v>273</v>
      </c>
      <c r="D85" s="38" t="s">
        <v>272</v>
      </c>
      <c r="E85" s="51" t="s">
        <v>43</v>
      </c>
      <c r="F85" s="51" t="s">
        <v>274</v>
      </c>
      <c r="G85" s="51">
        <v>1</v>
      </c>
      <c r="H85" s="3"/>
      <c r="I85" s="3"/>
      <c r="J85" s="3"/>
      <c r="K85" s="28"/>
      <c r="L85" s="3"/>
      <c r="M85" s="3"/>
      <c r="N85" s="3"/>
      <c r="O85" s="3"/>
      <c r="P85" s="3"/>
      <c r="Q85" s="3"/>
      <c r="R85" s="3"/>
      <c r="S85" s="3"/>
      <c r="T85" s="51" t="s">
        <v>61</v>
      </c>
      <c r="U85" s="18" t="s">
        <v>324</v>
      </c>
      <c r="V85" s="17" t="s">
        <v>324</v>
      </c>
      <c r="W85" s="95" t="s">
        <v>324</v>
      </c>
      <c r="X85" s="18" t="s">
        <v>324</v>
      </c>
      <c r="Y85" s="17" t="s">
        <v>324</v>
      </c>
      <c r="Z85" s="95" t="s">
        <v>324</v>
      </c>
      <c r="AA85" s="18"/>
      <c r="AB85" s="17"/>
      <c r="AC85" s="38"/>
      <c r="AD85" s="51"/>
      <c r="AE85" s="38"/>
      <c r="AF85" s="38"/>
      <c r="AG85" s="17" t="s">
        <v>324</v>
      </c>
      <c r="AH85" s="17" t="s">
        <v>324</v>
      </c>
      <c r="AI85" s="17"/>
      <c r="AJ85" s="38"/>
      <c r="AK85" s="6">
        <f t="shared" si="5"/>
        <v>0</v>
      </c>
    </row>
    <row r="86" spans="1:37" ht="49.5" customHeight="1" x14ac:dyDescent="0.25">
      <c r="A86" s="138" t="s">
        <v>68</v>
      </c>
      <c r="B86" s="139"/>
      <c r="C86" s="139"/>
      <c r="D86" s="139"/>
      <c r="E86" s="139"/>
      <c r="F86" s="139"/>
      <c r="G86" s="139"/>
      <c r="H86" s="139"/>
      <c r="I86" s="139"/>
      <c r="J86" s="139"/>
      <c r="K86" s="139"/>
      <c r="L86" s="139"/>
      <c r="M86" s="139"/>
      <c r="N86" s="139"/>
      <c r="O86" s="139"/>
      <c r="P86" s="139"/>
      <c r="Q86" s="139"/>
      <c r="R86" s="139"/>
      <c r="S86" s="139"/>
      <c r="T86" s="139"/>
      <c r="U86" s="139"/>
      <c r="V86" s="139"/>
      <c r="W86" s="139"/>
      <c r="X86" s="139"/>
      <c r="Y86" s="139"/>
      <c r="Z86" s="139"/>
      <c r="AA86" s="139"/>
      <c r="AB86" s="139"/>
      <c r="AC86" s="139"/>
      <c r="AD86" s="139"/>
      <c r="AE86" s="139"/>
      <c r="AF86" s="139"/>
      <c r="AG86" s="139"/>
      <c r="AH86" s="139"/>
      <c r="AI86" s="139"/>
      <c r="AJ86" s="139"/>
      <c r="AK86" s="140"/>
    </row>
    <row r="87" spans="1:37" ht="63.75" customHeight="1" x14ac:dyDescent="0.25">
      <c r="A87" s="147" t="s">
        <v>68</v>
      </c>
      <c r="B87" s="157" t="s">
        <v>6</v>
      </c>
      <c r="C87" s="157" t="s">
        <v>148</v>
      </c>
      <c r="D87" s="159" t="s">
        <v>7</v>
      </c>
      <c r="E87" s="157" t="s">
        <v>8</v>
      </c>
      <c r="F87" s="157" t="s">
        <v>9</v>
      </c>
      <c r="G87" s="157" t="s">
        <v>10</v>
      </c>
      <c r="H87" s="154" t="s">
        <v>11</v>
      </c>
      <c r="I87" s="155"/>
      <c r="J87" s="155"/>
      <c r="K87" s="155"/>
      <c r="L87" s="155"/>
      <c r="M87" s="155"/>
      <c r="N87" s="155"/>
      <c r="O87" s="155"/>
      <c r="P87" s="155"/>
      <c r="Q87" s="155"/>
      <c r="R87" s="155"/>
      <c r="S87" s="156"/>
      <c r="T87" s="157" t="s">
        <v>12</v>
      </c>
      <c r="U87" s="154" t="s">
        <v>13</v>
      </c>
      <c r="V87" s="155"/>
      <c r="W87" s="156"/>
      <c r="X87" s="154" t="s">
        <v>14</v>
      </c>
      <c r="Y87" s="155"/>
      <c r="Z87" s="156"/>
      <c r="AA87" s="154" t="s">
        <v>15</v>
      </c>
      <c r="AB87" s="155"/>
      <c r="AC87" s="156"/>
      <c r="AD87" s="154" t="s">
        <v>16</v>
      </c>
      <c r="AE87" s="155"/>
      <c r="AF87" s="156"/>
      <c r="AG87" s="154" t="s">
        <v>17</v>
      </c>
      <c r="AH87" s="155"/>
      <c r="AI87" s="155"/>
      <c r="AJ87" s="155"/>
      <c r="AK87" s="156"/>
    </row>
    <row r="88" spans="1:37" ht="56.25" customHeight="1" x14ac:dyDescent="0.25">
      <c r="A88" s="147"/>
      <c r="B88" s="158"/>
      <c r="C88" s="158"/>
      <c r="D88" s="160"/>
      <c r="E88" s="158"/>
      <c r="F88" s="158"/>
      <c r="G88" s="158"/>
      <c r="H88" s="54" t="s">
        <v>18</v>
      </c>
      <c r="I88" s="54" t="s">
        <v>19</v>
      </c>
      <c r="J88" s="54" t="s">
        <v>20</v>
      </c>
      <c r="K88" s="54" t="s">
        <v>21</v>
      </c>
      <c r="L88" s="54" t="s">
        <v>20</v>
      </c>
      <c r="M88" s="54" t="s">
        <v>22</v>
      </c>
      <c r="N88" s="54" t="s">
        <v>22</v>
      </c>
      <c r="O88" s="54" t="s">
        <v>21</v>
      </c>
      <c r="P88" s="54" t="s">
        <v>23</v>
      </c>
      <c r="Q88" s="54" t="s">
        <v>24</v>
      </c>
      <c r="R88" s="54" t="s">
        <v>25</v>
      </c>
      <c r="S88" s="54" t="s">
        <v>26</v>
      </c>
      <c r="T88" s="158"/>
      <c r="U88" s="54" t="s">
        <v>27</v>
      </c>
      <c r="V88" s="54" t="s">
        <v>28</v>
      </c>
      <c r="W88" s="54" t="s">
        <v>29</v>
      </c>
      <c r="X88" s="54" t="s">
        <v>30</v>
      </c>
      <c r="Y88" s="54" t="s">
        <v>31</v>
      </c>
      <c r="Z88" s="54" t="s">
        <v>32</v>
      </c>
      <c r="AA88" s="54" t="s">
        <v>33</v>
      </c>
      <c r="AB88" s="54" t="s">
        <v>34</v>
      </c>
      <c r="AC88" s="54" t="s">
        <v>35</v>
      </c>
      <c r="AD88" s="54" t="s">
        <v>36</v>
      </c>
      <c r="AE88" s="54" t="s">
        <v>37</v>
      </c>
      <c r="AF88" s="54" t="s">
        <v>38</v>
      </c>
      <c r="AG88" s="54" t="s">
        <v>39</v>
      </c>
      <c r="AH88" s="54" t="s">
        <v>40</v>
      </c>
      <c r="AI88" s="54" t="s">
        <v>41</v>
      </c>
      <c r="AJ88" s="54" t="s">
        <v>42</v>
      </c>
      <c r="AK88" s="54" t="s">
        <v>174</v>
      </c>
    </row>
    <row r="89" spans="1:37" ht="66.75" customHeight="1" x14ac:dyDescent="0.25">
      <c r="A89" s="147"/>
      <c r="B89" s="16">
        <v>1</v>
      </c>
      <c r="C89" s="144" t="s">
        <v>69</v>
      </c>
      <c r="D89" s="38" t="s">
        <v>117</v>
      </c>
      <c r="E89" s="148">
        <v>120000000</v>
      </c>
      <c r="F89" s="51" t="s">
        <v>70</v>
      </c>
      <c r="G89" s="17">
        <v>1</v>
      </c>
      <c r="H89" s="28"/>
      <c r="I89" s="28"/>
      <c r="J89" s="28"/>
      <c r="K89" s="28"/>
      <c r="L89" s="28"/>
      <c r="M89" s="28"/>
      <c r="N89" s="28"/>
      <c r="O89" s="28"/>
      <c r="P89" s="28"/>
      <c r="Q89" s="28"/>
      <c r="R89" s="28"/>
      <c r="S89" s="28"/>
      <c r="T89" s="3" t="s">
        <v>71</v>
      </c>
      <c r="U89" s="71" t="s">
        <v>331</v>
      </c>
      <c r="V89" s="11">
        <v>0.25</v>
      </c>
      <c r="W89" s="76" t="s">
        <v>332</v>
      </c>
      <c r="X89" s="118" t="s">
        <v>331</v>
      </c>
      <c r="Y89" s="113">
        <v>0.25</v>
      </c>
      <c r="Z89" s="116" t="s">
        <v>500</v>
      </c>
      <c r="AA89" s="18"/>
      <c r="AB89" s="17"/>
      <c r="AC89" s="40"/>
      <c r="AD89" s="9"/>
      <c r="AE89" s="9"/>
      <c r="AF89" s="40"/>
      <c r="AG89" s="17">
        <v>0.25</v>
      </c>
      <c r="AH89" s="17">
        <v>0.25</v>
      </c>
      <c r="AI89" s="17"/>
      <c r="AJ89" s="51"/>
      <c r="AK89" s="6">
        <f>SUM(AG89:AJ89)</f>
        <v>0.5</v>
      </c>
    </row>
    <row r="90" spans="1:37" ht="66.75" customHeight="1" x14ac:dyDescent="0.25">
      <c r="A90" s="147"/>
      <c r="B90" s="16">
        <v>2</v>
      </c>
      <c r="C90" s="151"/>
      <c r="D90" s="38" t="s">
        <v>118</v>
      </c>
      <c r="E90" s="149"/>
      <c r="F90" s="51" t="s">
        <v>116</v>
      </c>
      <c r="G90" s="17">
        <v>1</v>
      </c>
      <c r="H90" s="28"/>
      <c r="I90" s="28"/>
      <c r="J90" s="28"/>
      <c r="K90" s="28"/>
      <c r="L90" s="28"/>
      <c r="M90" s="28"/>
      <c r="N90" s="28"/>
      <c r="O90" s="28"/>
      <c r="P90" s="28"/>
      <c r="Q90" s="28"/>
      <c r="R90" s="28"/>
      <c r="S90" s="28"/>
      <c r="T90" s="3" t="s">
        <v>71</v>
      </c>
      <c r="U90" s="71" t="s">
        <v>331</v>
      </c>
      <c r="V90" s="11">
        <v>0.25</v>
      </c>
      <c r="W90" s="7" t="s">
        <v>333</v>
      </c>
      <c r="X90" s="18" t="s">
        <v>331</v>
      </c>
      <c r="Y90" s="113">
        <v>0.25</v>
      </c>
      <c r="Z90" s="40" t="s">
        <v>501</v>
      </c>
      <c r="AA90" s="18"/>
      <c r="AB90" s="17"/>
      <c r="AC90" s="40"/>
      <c r="AD90" s="9"/>
      <c r="AE90" s="9"/>
      <c r="AF90" s="40"/>
      <c r="AG90" s="17">
        <v>0.25</v>
      </c>
      <c r="AH90" s="17">
        <v>0.25</v>
      </c>
      <c r="AI90" s="17"/>
      <c r="AJ90" s="51"/>
      <c r="AK90" s="6">
        <f t="shared" ref="AK90:AK104" si="6">SUM(AG90:AJ90)</f>
        <v>0.5</v>
      </c>
    </row>
    <row r="91" spans="1:37" ht="66.75" customHeight="1" x14ac:dyDescent="0.25">
      <c r="A91" s="147"/>
      <c r="B91" s="16">
        <v>3</v>
      </c>
      <c r="C91" s="145"/>
      <c r="D91" s="38" t="s">
        <v>119</v>
      </c>
      <c r="E91" s="150"/>
      <c r="F91" s="17" t="s">
        <v>72</v>
      </c>
      <c r="G91" s="17">
        <v>1</v>
      </c>
      <c r="H91" s="28"/>
      <c r="I91" s="28"/>
      <c r="J91" s="28"/>
      <c r="K91" s="28"/>
      <c r="L91" s="28"/>
      <c r="M91" s="28"/>
      <c r="N91" s="28"/>
      <c r="O91" s="28"/>
      <c r="P91" s="28"/>
      <c r="Q91" s="28"/>
      <c r="R91" s="28"/>
      <c r="S91" s="28"/>
      <c r="T91" s="3" t="s">
        <v>71</v>
      </c>
      <c r="U91" s="71" t="s">
        <v>331</v>
      </c>
      <c r="V91" s="11">
        <v>0.25</v>
      </c>
      <c r="W91" s="7" t="s">
        <v>334</v>
      </c>
      <c r="X91" s="18" t="s">
        <v>331</v>
      </c>
      <c r="Y91" s="113">
        <v>0.25</v>
      </c>
      <c r="Z91" s="40" t="s">
        <v>502</v>
      </c>
      <c r="AA91" s="18"/>
      <c r="AB91" s="17"/>
      <c r="AC91" s="40"/>
      <c r="AD91" s="9"/>
      <c r="AE91" s="9"/>
      <c r="AF91" s="40"/>
      <c r="AG91" s="17">
        <v>0.25</v>
      </c>
      <c r="AH91" s="17">
        <v>0.25</v>
      </c>
      <c r="AI91" s="17"/>
      <c r="AJ91" s="51"/>
      <c r="AK91" s="6">
        <f t="shared" si="6"/>
        <v>0.5</v>
      </c>
    </row>
    <row r="92" spans="1:37" ht="66.75" customHeight="1" x14ac:dyDescent="0.25">
      <c r="A92" s="147"/>
      <c r="B92" s="16">
        <v>4</v>
      </c>
      <c r="C92" s="152" t="s">
        <v>74</v>
      </c>
      <c r="D92" s="38" t="s">
        <v>73</v>
      </c>
      <c r="E92" s="43">
        <v>100000000</v>
      </c>
      <c r="F92" s="17" t="s">
        <v>75</v>
      </c>
      <c r="G92" s="17">
        <v>1</v>
      </c>
      <c r="H92" s="28"/>
      <c r="I92" s="28"/>
      <c r="J92" s="28"/>
      <c r="K92" s="28"/>
      <c r="L92" s="28"/>
      <c r="M92" s="28"/>
      <c r="N92" s="28"/>
      <c r="O92" s="28"/>
      <c r="P92" s="28"/>
      <c r="Q92" s="28"/>
      <c r="R92" s="28"/>
      <c r="S92" s="28"/>
      <c r="T92" s="3" t="s">
        <v>295</v>
      </c>
      <c r="U92" s="71" t="s">
        <v>331</v>
      </c>
      <c r="V92" s="30" t="s">
        <v>335</v>
      </c>
      <c r="W92" s="7" t="s">
        <v>336</v>
      </c>
      <c r="X92" s="51" t="s">
        <v>331</v>
      </c>
      <c r="Y92" s="113">
        <v>0.25</v>
      </c>
      <c r="Z92" s="40" t="s">
        <v>503</v>
      </c>
      <c r="AA92" s="51"/>
      <c r="AB92" s="9"/>
      <c r="AC92" s="40"/>
      <c r="AD92" s="9"/>
      <c r="AE92" s="9"/>
      <c r="AF92" s="40"/>
      <c r="AG92" s="17">
        <v>0.25</v>
      </c>
      <c r="AH92" s="114">
        <v>0.25</v>
      </c>
      <c r="AI92" s="17"/>
      <c r="AJ92" s="51"/>
      <c r="AK92" s="6">
        <f t="shared" si="6"/>
        <v>0.5</v>
      </c>
    </row>
    <row r="93" spans="1:37" ht="84.75" customHeight="1" x14ac:dyDescent="0.25">
      <c r="A93" s="147"/>
      <c r="B93" s="16">
        <v>5</v>
      </c>
      <c r="C93" s="153"/>
      <c r="D93" s="7" t="s">
        <v>159</v>
      </c>
      <c r="E93" s="51" t="s">
        <v>43</v>
      </c>
      <c r="F93" s="3" t="s">
        <v>158</v>
      </c>
      <c r="G93" s="4">
        <v>1</v>
      </c>
      <c r="H93" s="28"/>
      <c r="I93" s="28"/>
      <c r="J93" s="28"/>
      <c r="K93" s="28"/>
      <c r="L93" s="28"/>
      <c r="M93" s="28"/>
      <c r="N93" s="28"/>
      <c r="O93" s="28"/>
      <c r="P93" s="28"/>
      <c r="Q93" s="28"/>
      <c r="R93" s="28"/>
      <c r="S93" s="28"/>
      <c r="T93" s="3" t="s">
        <v>295</v>
      </c>
      <c r="U93" s="71" t="s">
        <v>331</v>
      </c>
      <c r="V93" s="35" t="s">
        <v>337</v>
      </c>
      <c r="W93" s="7" t="s">
        <v>338</v>
      </c>
      <c r="X93" s="18" t="s">
        <v>331</v>
      </c>
      <c r="Y93" s="113">
        <v>0.25</v>
      </c>
      <c r="Z93" s="38" t="s">
        <v>504</v>
      </c>
      <c r="AA93" s="18"/>
      <c r="AB93" s="9"/>
      <c r="AC93" s="38"/>
      <c r="AD93" s="9"/>
      <c r="AE93" s="9"/>
      <c r="AF93" s="51"/>
      <c r="AG93" s="17">
        <v>0.25</v>
      </c>
      <c r="AH93" s="114">
        <v>0.25</v>
      </c>
      <c r="AI93" s="17"/>
      <c r="AJ93" s="51"/>
      <c r="AK93" s="6">
        <f t="shared" si="6"/>
        <v>0.5</v>
      </c>
    </row>
    <row r="94" spans="1:37" ht="66.75" customHeight="1" x14ac:dyDescent="0.25">
      <c r="A94" s="147"/>
      <c r="B94" s="16">
        <v>6</v>
      </c>
      <c r="C94" s="53" t="s">
        <v>77</v>
      </c>
      <c r="D94" s="7" t="s">
        <v>76</v>
      </c>
      <c r="E94" s="51" t="s">
        <v>43</v>
      </c>
      <c r="F94" s="3" t="s">
        <v>160</v>
      </c>
      <c r="G94" s="3">
        <v>2</v>
      </c>
      <c r="H94" s="51"/>
      <c r="I94" s="51"/>
      <c r="J94" s="51"/>
      <c r="K94" s="51"/>
      <c r="L94" s="28"/>
      <c r="M94" s="3"/>
      <c r="N94" s="51"/>
      <c r="O94" s="51"/>
      <c r="P94" s="28"/>
      <c r="Q94" s="51"/>
      <c r="R94" s="51"/>
      <c r="S94" s="51"/>
      <c r="T94" s="3" t="s">
        <v>295</v>
      </c>
      <c r="U94" s="71" t="s">
        <v>324</v>
      </c>
      <c r="V94" s="9" t="s">
        <v>324</v>
      </c>
      <c r="W94" s="7" t="s">
        <v>324</v>
      </c>
      <c r="X94" s="117" t="s">
        <v>324</v>
      </c>
      <c r="Y94" s="117" t="s">
        <v>324</v>
      </c>
      <c r="Z94" s="112" t="s">
        <v>324</v>
      </c>
      <c r="AA94" s="115"/>
      <c r="AB94" s="112"/>
      <c r="AC94" s="117"/>
      <c r="AD94" s="112"/>
      <c r="AE94" s="112"/>
      <c r="AF94" s="117"/>
      <c r="AG94" s="114" t="s">
        <v>324</v>
      </c>
      <c r="AH94" s="51"/>
      <c r="AI94" s="17"/>
      <c r="AJ94" s="51"/>
      <c r="AK94" s="6">
        <f t="shared" si="6"/>
        <v>0</v>
      </c>
    </row>
    <row r="95" spans="1:37" ht="66.75" customHeight="1" x14ac:dyDescent="0.25">
      <c r="A95" s="147"/>
      <c r="B95" s="16">
        <v>8</v>
      </c>
      <c r="C95" s="144" t="s">
        <v>157</v>
      </c>
      <c r="D95" s="38" t="s">
        <v>161</v>
      </c>
      <c r="E95" s="148">
        <v>152000000</v>
      </c>
      <c r="F95" s="51" t="s">
        <v>78</v>
      </c>
      <c r="G95" s="17">
        <v>1</v>
      </c>
      <c r="H95" s="28"/>
      <c r="I95" s="28"/>
      <c r="J95" s="28"/>
      <c r="K95" s="28"/>
      <c r="L95" s="28"/>
      <c r="M95" s="28"/>
      <c r="N95" s="28"/>
      <c r="O95" s="28"/>
      <c r="P95" s="28"/>
      <c r="Q95" s="28"/>
      <c r="R95" s="28"/>
      <c r="S95" s="28"/>
      <c r="T95" s="3" t="s">
        <v>79</v>
      </c>
      <c r="U95" s="77">
        <v>0.25</v>
      </c>
      <c r="V95" s="11">
        <v>0.25</v>
      </c>
      <c r="W95" s="7" t="s">
        <v>339</v>
      </c>
      <c r="X95" s="17">
        <v>0.25</v>
      </c>
      <c r="Y95" s="17">
        <v>0.25</v>
      </c>
      <c r="Z95" s="38" t="s">
        <v>505</v>
      </c>
      <c r="AA95" s="17"/>
      <c r="AB95" s="17"/>
      <c r="AC95" s="38"/>
      <c r="AD95" s="17"/>
      <c r="AE95" s="17"/>
      <c r="AF95" s="51"/>
      <c r="AG95" s="17">
        <v>0.25</v>
      </c>
      <c r="AH95" s="17">
        <v>0.25</v>
      </c>
      <c r="AI95" s="17"/>
      <c r="AJ95" s="51"/>
      <c r="AK95" s="6">
        <f t="shared" si="6"/>
        <v>0.5</v>
      </c>
    </row>
    <row r="96" spans="1:37" ht="66.75" customHeight="1" x14ac:dyDescent="0.25">
      <c r="A96" s="147"/>
      <c r="B96" s="16">
        <v>9</v>
      </c>
      <c r="C96" s="151"/>
      <c r="D96" s="38" t="s">
        <v>270</v>
      </c>
      <c r="E96" s="150"/>
      <c r="F96" s="3" t="s">
        <v>80</v>
      </c>
      <c r="G96" s="4">
        <v>1</v>
      </c>
      <c r="H96" s="28"/>
      <c r="I96" s="28"/>
      <c r="J96" s="28"/>
      <c r="K96" s="28"/>
      <c r="L96" s="28"/>
      <c r="M96" s="28"/>
      <c r="N96" s="28"/>
      <c r="O96" s="28"/>
      <c r="P96" s="28"/>
      <c r="Q96" s="28"/>
      <c r="R96" s="28"/>
      <c r="S96" s="28"/>
      <c r="T96" s="3" t="s">
        <v>296</v>
      </c>
      <c r="U96" s="11">
        <v>0.25</v>
      </c>
      <c r="V96" s="11">
        <v>0.25</v>
      </c>
      <c r="W96" s="7" t="s">
        <v>340</v>
      </c>
      <c r="X96" s="17">
        <v>0.25</v>
      </c>
      <c r="Y96" s="17">
        <v>0.25</v>
      </c>
      <c r="Z96" s="38" t="s">
        <v>506</v>
      </c>
      <c r="AA96" s="17"/>
      <c r="AB96" s="17"/>
      <c r="AC96" s="38"/>
      <c r="AD96" s="17"/>
      <c r="AE96" s="17"/>
      <c r="AF96" s="51"/>
      <c r="AG96" s="17">
        <v>0.25</v>
      </c>
      <c r="AH96" s="17">
        <v>0.25</v>
      </c>
      <c r="AI96" s="17"/>
      <c r="AJ96" s="51"/>
      <c r="AK96" s="6">
        <f t="shared" si="6"/>
        <v>0.5</v>
      </c>
    </row>
    <row r="97" spans="1:37" ht="90" customHeight="1" x14ac:dyDescent="0.25">
      <c r="A97" s="147"/>
      <c r="B97" s="16">
        <v>10</v>
      </c>
      <c r="C97" s="145"/>
      <c r="D97" s="38" t="s">
        <v>81</v>
      </c>
      <c r="E97" s="51" t="s">
        <v>43</v>
      </c>
      <c r="F97" s="3" t="s">
        <v>82</v>
      </c>
      <c r="G97" s="3">
        <v>2</v>
      </c>
      <c r="H97" s="51"/>
      <c r="I97" s="51"/>
      <c r="J97" s="51"/>
      <c r="K97" s="51"/>
      <c r="L97" s="51"/>
      <c r="M97" s="28"/>
      <c r="N97" s="51"/>
      <c r="O97" s="51"/>
      <c r="P97" s="51"/>
      <c r="Q97" s="51"/>
      <c r="R97" s="51"/>
      <c r="S97" s="28"/>
      <c r="T97" s="3" t="s">
        <v>296</v>
      </c>
      <c r="U97" s="53" t="s">
        <v>324</v>
      </c>
      <c r="V97" s="11" t="s">
        <v>324</v>
      </c>
      <c r="W97" s="7" t="s">
        <v>341</v>
      </c>
      <c r="X97" s="114">
        <v>0.5</v>
      </c>
      <c r="Y97" s="17">
        <v>0.5</v>
      </c>
      <c r="Z97" s="38" t="s">
        <v>507</v>
      </c>
      <c r="AA97" s="18"/>
      <c r="AB97" s="17"/>
      <c r="AC97" s="38"/>
      <c r="AD97" s="17"/>
      <c r="AE97" s="17"/>
      <c r="AF97" s="51"/>
      <c r="AG97" s="17" t="s">
        <v>324</v>
      </c>
      <c r="AH97" s="17">
        <v>0.5</v>
      </c>
      <c r="AI97" s="17"/>
      <c r="AJ97" s="51"/>
      <c r="AK97" s="6">
        <f t="shared" si="6"/>
        <v>0.5</v>
      </c>
    </row>
    <row r="98" spans="1:37" ht="99.75" customHeight="1" x14ac:dyDescent="0.25">
      <c r="A98" s="147"/>
      <c r="B98" s="16">
        <v>12</v>
      </c>
      <c r="C98" s="51" t="s">
        <v>83</v>
      </c>
      <c r="D98" s="38" t="s">
        <v>126</v>
      </c>
      <c r="E98" s="51" t="s">
        <v>43</v>
      </c>
      <c r="F98" s="51" t="s">
        <v>127</v>
      </c>
      <c r="G98" s="4">
        <v>1</v>
      </c>
      <c r="H98" s="28"/>
      <c r="I98" s="28"/>
      <c r="J98" s="28"/>
      <c r="K98" s="28"/>
      <c r="L98" s="28"/>
      <c r="M98" s="28"/>
      <c r="N98" s="28"/>
      <c r="O98" s="28"/>
      <c r="P98" s="28"/>
      <c r="Q98" s="28"/>
      <c r="R98" s="28"/>
      <c r="S98" s="28"/>
      <c r="T98" s="3" t="s">
        <v>296</v>
      </c>
      <c r="U98" s="11">
        <v>0.25</v>
      </c>
      <c r="V98" s="11">
        <v>0.25</v>
      </c>
      <c r="W98" s="7" t="s">
        <v>342</v>
      </c>
      <c r="X98" s="17">
        <v>0.25</v>
      </c>
      <c r="Y98" s="17">
        <v>0.25</v>
      </c>
      <c r="Z98" s="51" t="s">
        <v>508</v>
      </c>
      <c r="AA98" s="17"/>
      <c r="AB98" s="17"/>
      <c r="AC98" s="38"/>
      <c r="AD98" s="17"/>
      <c r="AE98" s="17"/>
      <c r="AF98" s="51"/>
      <c r="AG98" s="17">
        <v>0.25</v>
      </c>
      <c r="AH98" s="17">
        <v>0.25</v>
      </c>
      <c r="AI98" s="17"/>
      <c r="AJ98" s="17"/>
      <c r="AK98" s="6">
        <f t="shared" si="6"/>
        <v>0.5</v>
      </c>
    </row>
    <row r="99" spans="1:37" ht="123" customHeight="1" x14ac:dyDescent="0.25">
      <c r="A99" s="147"/>
      <c r="B99" s="16">
        <v>13</v>
      </c>
      <c r="C99" s="51" t="s">
        <v>276</v>
      </c>
      <c r="D99" s="38" t="s">
        <v>84</v>
      </c>
      <c r="E99" s="51" t="s">
        <v>43</v>
      </c>
      <c r="F99" s="3" t="s">
        <v>85</v>
      </c>
      <c r="G99" s="4">
        <v>1</v>
      </c>
      <c r="H99" s="28"/>
      <c r="I99" s="28"/>
      <c r="J99" s="28"/>
      <c r="K99" s="28"/>
      <c r="L99" s="28"/>
      <c r="M99" s="28"/>
      <c r="N99" s="28"/>
      <c r="O99" s="28"/>
      <c r="P99" s="28"/>
      <c r="Q99" s="28"/>
      <c r="R99" s="28"/>
      <c r="S99" s="28"/>
      <c r="T99" s="3" t="s">
        <v>296</v>
      </c>
      <c r="U99" s="11">
        <v>0.25</v>
      </c>
      <c r="V99" s="11">
        <v>0.25</v>
      </c>
      <c r="W99" s="7" t="s">
        <v>343</v>
      </c>
      <c r="X99" s="114">
        <v>0.25</v>
      </c>
      <c r="Y99" s="17">
        <v>0.25</v>
      </c>
      <c r="Z99" s="51" t="s">
        <v>509</v>
      </c>
      <c r="AA99" s="17"/>
      <c r="AB99" s="17"/>
      <c r="AC99" s="38"/>
      <c r="AD99" s="17"/>
      <c r="AE99" s="17"/>
      <c r="AF99" s="51"/>
      <c r="AG99" s="17">
        <v>0.25</v>
      </c>
      <c r="AH99" s="17">
        <v>0.25</v>
      </c>
      <c r="AI99" s="17"/>
      <c r="AJ99" s="20"/>
      <c r="AK99" s="6">
        <f t="shared" si="6"/>
        <v>0.5</v>
      </c>
    </row>
    <row r="100" spans="1:37" ht="80.25" customHeight="1" x14ac:dyDescent="0.25">
      <c r="A100" s="147"/>
      <c r="B100" s="16">
        <v>14</v>
      </c>
      <c r="C100" s="144" t="s">
        <v>86</v>
      </c>
      <c r="D100" s="38" t="s">
        <v>120</v>
      </c>
      <c r="E100" s="51" t="s">
        <v>43</v>
      </c>
      <c r="F100" s="3" t="s">
        <v>121</v>
      </c>
      <c r="G100" s="4">
        <v>1</v>
      </c>
      <c r="H100" s="28"/>
      <c r="I100" s="28"/>
      <c r="J100" s="28"/>
      <c r="K100" s="28"/>
      <c r="L100" s="28"/>
      <c r="M100" s="28"/>
      <c r="N100" s="28"/>
      <c r="O100" s="28"/>
      <c r="P100" s="28"/>
      <c r="Q100" s="28"/>
      <c r="R100" s="28"/>
      <c r="S100" s="28"/>
      <c r="T100" s="3" t="s">
        <v>297</v>
      </c>
      <c r="U100" s="11">
        <v>0.25</v>
      </c>
      <c r="V100" s="113">
        <v>0.25</v>
      </c>
      <c r="W100" s="7" t="s">
        <v>344</v>
      </c>
      <c r="X100" s="114">
        <v>0.25</v>
      </c>
      <c r="Y100" s="114">
        <v>0.25</v>
      </c>
      <c r="Z100" s="38" t="s">
        <v>344</v>
      </c>
      <c r="AA100" s="17"/>
      <c r="AB100" s="17"/>
      <c r="AC100" s="38"/>
      <c r="AD100" s="17"/>
      <c r="AE100" s="17"/>
      <c r="AF100" s="51"/>
      <c r="AG100" s="17">
        <v>0.25</v>
      </c>
      <c r="AH100" s="114">
        <v>0.25</v>
      </c>
      <c r="AI100" s="17"/>
      <c r="AJ100" s="51"/>
      <c r="AK100" s="6">
        <f t="shared" si="6"/>
        <v>0.5</v>
      </c>
    </row>
    <row r="101" spans="1:37" ht="80.25" customHeight="1" x14ac:dyDescent="0.25">
      <c r="A101" s="147"/>
      <c r="B101" s="16">
        <v>15</v>
      </c>
      <c r="C101" s="151"/>
      <c r="D101" s="38" t="s">
        <v>122</v>
      </c>
      <c r="E101" s="51" t="s">
        <v>43</v>
      </c>
      <c r="F101" s="3" t="s">
        <v>87</v>
      </c>
      <c r="G101" s="4">
        <v>0.6</v>
      </c>
      <c r="H101" s="28"/>
      <c r="I101" s="28"/>
      <c r="J101" s="28"/>
      <c r="K101" s="28"/>
      <c r="L101" s="28"/>
      <c r="M101" s="28"/>
      <c r="N101" s="28"/>
      <c r="O101" s="28"/>
      <c r="P101" s="28"/>
      <c r="Q101" s="28"/>
      <c r="R101" s="28"/>
      <c r="S101" s="28"/>
      <c r="T101" s="3" t="s">
        <v>297</v>
      </c>
      <c r="U101" s="11">
        <v>0.25</v>
      </c>
      <c r="V101" s="113">
        <v>0.25</v>
      </c>
      <c r="W101" s="7" t="s">
        <v>345</v>
      </c>
      <c r="X101" s="114">
        <v>0.25</v>
      </c>
      <c r="Y101" s="114">
        <v>0.25</v>
      </c>
      <c r="Z101" s="38" t="s">
        <v>345</v>
      </c>
      <c r="AA101" s="17"/>
      <c r="AB101" s="17"/>
      <c r="AC101" s="38"/>
      <c r="AD101" s="17"/>
      <c r="AE101" s="17"/>
      <c r="AF101" s="51"/>
      <c r="AG101" s="17">
        <v>0.25</v>
      </c>
      <c r="AH101" s="114">
        <v>0.25</v>
      </c>
      <c r="AI101" s="17"/>
      <c r="AJ101" s="51"/>
      <c r="AK101" s="6">
        <f t="shared" si="6"/>
        <v>0.5</v>
      </c>
    </row>
    <row r="102" spans="1:37" ht="80.25" customHeight="1" x14ac:dyDescent="0.25">
      <c r="A102" s="147"/>
      <c r="B102" s="16">
        <v>17</v>
      </c>
      <c r="C102" s="151"/>
      <c r="D102" s="38" t="s">
        <v>277</v>
      </c>
      <c r="E102" s="51" t="s">
        <v>43</v>
      </c>
      <c r="F102" s="3" t="s">
        <v>88</v>
      </c>
      <c r="G102" s="17">
        <v>1</v>
      </c>
      <c r="H102" s="28"/>
      <c r="I102" s="28"/>
      <c r="J102" s="28"/>
      <c r="K102" s="28"/>
      <c r="L102" s="28"/>
      <c r="M102" s="28"/>
      <c r="N102" s="28"/>
      <c r="O102" s="28"/>
      <c r="P102" s="28"/>
      <c r="Q102" s="28"/>
      <c r="R102" s="28"/>
      <c r="S102" s="28"/>
      <c r="T102" s="3" t="s">
        <v>297</v>
      </c>
      <c r="U102" s="11">
        <v>0.25</v>
      </c>
      <c r="V102" s="113">
        <v>0.25</v>
      </c>
      <c r="W102" s="41" t="s">
        <v>346</v>
      </c>
      <c r="X102" s="114">
        <v>0.25</v>
      </c>
      <c r="Y102" s="114">
        <v>0.25</v>
      </c>
      <c r="Z102" s="40" t="s">
        <v>510</v>
      </c>
      <c r="AA102" s="17"/>
      <c r="AB102" s="17"/>
      <c r="AC102" s="38"/>
      <c r="AD102" s="17"/>
      <c r="AE102" s="17"/>
      <c r="AF102" s="51"/>
      <c r="AG102" s="17">
        <v>0.25</v>
      </c>
      <c r="AH102" s="114">
        <v>0.25</v>
      </c>
      <c r="AI102" s="17"/>
      <c r="AJ102" s="51"/>
      <c r="AK102" s="6">
        <f t="shared" si="6"/>
        <v>0.5</v>
      </c>
    </row>
    <row r="103" spans="1:37" ht="80.25" customHeight="1" x14ac:dyDescent="0.25">
      <c r="A103" s="147"/>
      <c r="B103" s="16">
        <v>16</v>
      </c>
      <c r="C103" s="145"/>
      <c r="D103" s="38" t="s">
        <v>123</v>
      </c>
      <c r="E103" s="51" t="s">
        <v>43</v>
      </c>
      <c r="F103" s="3" t="s">
        <v>88</v>
      </c>
      <c r="G103" s="17">
        <v>1</v>
      </c>
      <c r="H103" s="28"/>
      <c r="I103" s="28"/>
      <c r="J103" s="28"/>
      <c r="K103" s="28"/>
      <c r="L103" s="28"/>
      <c r="M103" s="28"/>
      <c r="N103" s="28"/>
      <c r="O103" s="28"/>
      <c r="P103" s="28"/>
      <c r="Q103" s="28"/>
      <c r="R103" s="28"/>
      <c r="S103" s="28"/>
      <c r="T103" s="3" t="s">
        <v>297</v>
      </c>
      <c r="U103" s="11">
        <v>0.25</v>
      </c>
      <c r="V103" s="113">
        <v>0.25</v>
      </c>
      <c r="W103" s="41" t="s">
        <v>347</v>
      </c>
      <c r="X103" s="114">
        <v>0.25</v>
      </c>
      <c r="Y103" s="114">
        <v>0.25</v>
      </c>
      <c r="Z103" s="40" t="s">
        <v>511</v>
      </c>
      <c r="AA103" s="17"/>
      <c r="AB103" s="17"/>
      <c r="AC103" s="38"/>
      <c r="AD103" s="17"/>
      <c r="AE103" s="17"/>
      <c r="AF103" s="51"/>
      <c r="AG103" s="17">
        <v>0.25</v>
      </c>
      <c r="AH103" s="114">
        <v>0.25</v>
      </c>
      <c r="AI103" s="17"/>
      <c r="AJ103" s="51"/>
      <c r="AK103" s="6">
        <f t="shared" si="6"/>
        <v>0.5</v>
      </c>
    </row>
    <row r="104" spans="1:37" ht="80.25" customHeight="1" x14ac:dyDescent="0.25">
      <c r="A104" s="147"/>
      <c r="B104" s="16">
        <v>18</v>
      </c>
      <c r="C104" s="53" t="s">
        <v>124</v>
      </c>
      <c r="D104" s="38" t="s">
        <v>125</v>
      </c>
      <c r="E104" s="51" t="s">
        <v>43</v>
      </c>
      <c r="F104" s="51" t="s">
        <v>89</v>
      </c>
      <c r="G104" s="11">
        <v>0.9</v>
      </c>
      <c r="H104" s="28"/>
      <c r="I104" s="28"/>
      <c r="J104" s="28"/>
      <c r="K104" s="28"/>
      <c r="L104" s="28"/>
      <c r="M104" s="28"/>
      <c r="N104" s="28"/>
      <c r="O104" s="28"/>
      <c r="P104" s="28"/>
      <c r="Q104" s="28"/>
      <c r="R104" s="28"/>
      <c r="S104" s="28"/>
      <c r="T104" s="3" t="s">
        <v>297</v>
      </c>
      <c r="U104" s="11">
        <v>0.25</v>
      </c>
      <c r="V104" s="113">
        <v>0.25</v>
      </c>
      <c r="W104" s="41" t="s">
        <v>348</v>
      </c>
      <c r="X104" s="114">
        <v>0.25</v>
      </c>
      <c r="Y104" s="114">
        <v>0.25</v>
      </c>
      <c r="Z104" s="40" t="s">
        <v>512</v>
      </c>
      <c r="AA104" s="17"/>
      <c r="AB104" s="17"/>
      <c r="AC104" s="38"/>
      <c r="AD104" s="17"/>
      <c r="AE104" s="17"/>
      <c r="AF104" s="51"/>
      <c r="AG104" s="17">
        <v>0.25</v>
      </c>
      <c r="AH104" s="114">
        <v>0.25</v>
      </c>
      <c r="AI104" s="17"/>
      <c r="AJ104" s="51"/>
      <c r="AK104" s="6">
        <f t="shared" si="6"/>
        <v>0.5</v>
      </c>
    </row>
    <row r="105" spans="1:37" ht="14.25" customHeight="1" x14ac:dyDescent="0.25"/>
    <row r="106" spans="1:37" ht="24" customHeight="1" x14ac:dyDescent="0.25">
      <c r="C106" s="137" t="s">
        <v>113</v>
      </c>
      <c r="D106" s="137"/>
      <c r="E106" s="137"/>
      <c r="F106" s="137"/>
    </row>
    <row r="107" spans="1:37" ht="15.75" customHeight="1" x14ac:dyDescent="0.25">
      <c r="C107" s="48"/>
    </row>
    <row r="111" spans="1:37" ht="30" customHeight="1" x14ac:dyDescent="0.25">
      <c r="C111" s="49"/>
      <c r="D111" s="70"/>
      <c r="E111" s="50"/>
      <c r="F111" s="50"/>
      <c r="G111" s="50"/>
      <c r="H111" s="49"/>
      <c r="I111" s="49"/>
      <c r="J111" s="49"/>
      <c r="K111" s="49"/>
      <c r="L111" s="49"/>
      <c r="M111" s="49"/>
      <c r="N111" s="49"/>
      <c r="O111" s="49"/>
      <c r="P111" s="49"/>
      <c r="Q111" s="49"/>
      <c r="R111" s="49"/>
      <c r="S111" s="49"/>
      <c r="T111" s="49"/>
      <c r="U111" s="50"/>
    </row>
    <row r="112" spans="1:37" x14ac:dyDescent="0.25">
      <c r="C112" s="49"/>
      <c r="D112" s="70"/>
      <c r="E112" s="50"/>
      <c r="F112" s="50"/>
      <c r="G112" s="50"/>
      <c r="H112" s="49"/>
      <c r="I112" s="49"/>
      <c r="J112" s="49"/>
      <c r="K112" s="49"/>
      <c r="L112" s="49"/>
      <c r="M112" s="49"/>
      <c r="N112" s="49"/>
      <c r="O112" s="49"/>
      <c r="P112" s="49"/>
      <c r="Q112" s="49"/>
      <c r="R112" s="49"/>
      <c r="S112" s="49"/>
      <c r="T112" s="49"/>
      <c r="U112" s="50"/>
    </row>
    <row r="113" spans="3:21" x14ac:dyDescent="0.25">
      <c r="C113" s="49"/>
      <c r="D113" s="70"/>
      <c r="E113" s="50"/>
      <c r="F113" s="50"/>
      <c r="G113" s="50"/>
      <c r="H113" s="49"/>
      <c r="I113" s="49"/>
      <c r="J113" s="49"/>
      <c r="K113" s="49"/>
      <c r="L113" s="49"/>
      <c r="M113" s="49"/>
      <c r="N113" s="49"/>
      <c r="O113" s="49"/>
      <c r="P113" s="49"/>
      <c r="Q113" s="49"/>
      <c r="R113" s="49"/>
      <c r="S113" s="49"/>
      <c r="T113" s="49"/>
      <c r="U113" s="50"/>
    </row>
    <row r="114" spans="3:21" x14ac:dyDescent="0.25">
      <c r="C114" s="49"/>
      <c r="D114" s="70"/>
      <c r="E114" s="50"/>
      <c r="F114" s="50"/>
      <c r="G114" s="50"/>
      <c r="H114" s="49"/>
      <c r="I114" s="49"/>
      <c r="J114" s="49"/>
      <c r="K114" s="49"/>
      <c r="L114" s="49"/>
      <c r="M114" s="49"/>
      <c r="N114" s="49"/>
      <c r="O114" s="49"/>
      <c r="P114" s="49"/>
      <c r="Q114" s="49"/>
      <c r="R114" s="49"/>
      <c r="S114" s="49"/>
      <c r="T114" s="49"/>
      <c r="U114" s="50"/>
    </row>
  </sheetData>
  <mergeCells count="140">
    <mergeCell ref="A1:A4"/>
    <mergeCell ref="B1:AJ2"/>
    <mergeCell ref="B3:AJ3"/>
    <mergeCell ref="B4:AJ4"/>
    <mergeCell ref="A5:AK5"/>
    <mergeCell ref="A6:AK6"/>
    <mergeCell ref="AD7:AF7"/>
    <mergeCell ref="AG7:AK7"/>
    <mergeCell ref="G7:G8"/>
    <mergeCell ref="H7:S7"/>
    <mergeCell ref="T7:T8"/>
    <mergeCell ref="U7:W7"/>
    <mergeCell ref="X7:Z7"/>
    <mergeCell ref="AA7:AC7"/>
    <mergeCell ref="B7:B8"/>
    <mergeCell ref="C7:C8"/>
    <mergeCell ref="D7:D8"/>
    <mergeCell ref="E7:E8"/>
    <mergeCell ref="F7:F8"/>
    <mergeCell ref="A7:A18"/>
    <mergeCell ref="E9:E12"/>
    <mergeCell ref="C9:C12"/>
    <mergeCell ref="C13:C16"/>
    <mergeCell ref="E13:E16"/>
    <mergeCell ref="AA20:AC20"/>
    <mergeCell ref="B20:B21"/>
    <mergeCell ref="C20:C21"/>
    <mergeCell ref="D20:D21"/>
    <mergeCell ref="E20:E21"/>
    <mergeCell ref="C17:C18"/>
    <mergeCell ref="E17:E18"/>
    <mergeCell ref="T20:T21"/>
    <mergeCell ref="U20:W20"/>
    <mergeCell ref="X20:Z20"/>
    <mergeCell ref="X9:Z9"/>
    <mergeCell ref="X10:Z10"/>
    <mergeCell ref="X11:Z11"/>
    <mergeCell ref="C77:C78"/>
    <mergeCell ref="D77:D78"/>
    <mergeCell ref="E77:E78"/>
    <mergeCell ref="B63:B64"/>
    <mergeCell ref="C63:C64"/>
    <mergeCell ref="D63:D64"/>
    <mergeCell ref="E63:E64"/>
    <mergeCell ref="F77:F78"/>
    <mergeCell ref="G38:G39"/>
    <mergeCell ref="B38:B39"/>
    <mergeCell ref="C38:C39"/>
    <mergeCell ref="D38:D39"/>
    <mergeCell ref="E38:E39"/>
    <mergeCell ref="F38:F39"/>
    <mergeCell ref="E51:E52"/>
    <mergeCell ref="G20:G21"/>
    <mergeCell ref="F47:F48"/>
    <mergeCell ref="T77:T78"/>
    <mergeCell ref="U77:W77"/>
    <mergeCell ref="H20:S20"/>
    <mergeCell ref="F20:F21"/>
    <mergeCell ref="F87:F88"/>
    <mergeCell ref="E68:E69"/>
    <mergeCell ref="E70:E71"/>
    <mergeCell ref="E72:E73"/>
    <mergeCell ref="E47:E48"/>
    <mergeCell ref="E23:E24"/>
    <mergeCell ref="G87:G88"/>
    <mergeCell ref="U38:W38"/>
    <mergeCell ref="E87:E88"/>
    <mergeCell ref="E53:E54"/>
    <mergeCell ref="E55:E60"/>
    <mergeCell ref="T47:T48"/>
    <mergeCell ref="G63:G64"/>
    <mergeCell ref="H63:S63"/>
    <mergeCell ref="G47:G48"/>
    <mergeCell ref="H47:S47"/>
    <mergeCell ref="T38:T39"/>
    <mergeCell ref="T63:T64"/>
    <mergeCell ref="A46:T46"/>
    <mergeCell ref="A38:A45"/>
    <mergeCell ref="H38:S38"/>
    <mergeCell ref="H87:S87"/>
    <mergeCell ref="E25:E27"/>
    <mergeCell ref="A47:A61"/>
    <mergeCell ref="X87:Z87"/>
    <mergeCell ref="AA87:AC87"/>
    <mergeCell ref="AD87:AF87"/>
    <mergeCell ref="X38:Z38"/>
    <mergeCell ref="T87:T88"/>
    <mergeCell ref="U87:W87"/>
    <mergeCell ref="AG20:AK20"/>
    <mergeCell ref="AA77:AC77"/>
    <mergeCell ref="AD77:AF77"/>
    <mergeCell ref="AG47:AK47"/>
    <mergeCell ref="AD20:AF20"/>
    <mergeCell ref="U47:W47"/>
    <mergeCell ref="X47:Z47"/>
    <mergeCell ref="AA47:AC47"/>
    <mergeCell ref="AD47:AF47"/>
    <mergeCell ref="U63:W63"/>
    <mergeCell ref="X63:Z63"/>
    <mergeCell ref="AA63:AC63"/>
    <mergeCell ref="AD63:AF63"/>
    <mergeCell ref="X77:Z77"/>
    <mergeCell ref="AG38:AK38"/>
    <mergeCell ref="AG63:AK63"/>
    <mergeCell ref="X79:Z79"/>
    <mergeCell ref="A37:AK37"/>
    <mergeCell ref="C42:C44"/>
    <mergeCell ref="B87:B88"/>
    <mergeCell ref="C87:C88"/>
    <mergeCell ref="D87:D88"/>
    <mergeCell ref="B47:B48"/>
    <mergeCell ref="C47:C48"/>
    <mergeCell ref="D47:D48"/>
    <mergeCell ref="C51:C52"/>
    <mergeCell ref="C53:C60"/>
    <mergeCell ref="B77:B78"/>
    <mergeCell ref="C106:F106"/>
    <mergeCell ref="A19:AK19"/>
    <mergeCell ref="A20:A36"/>
    <mergeCell ref="A62:AK62"/>
    <mergeCell ref="A63:A75"/>
    <mergeCell ref="C66:C67"/>
    <mergeCell ref="E66:E67"/>
    <mergeCell ref="A87:A104"/>
    <mergeCell ref="E89:E91"/>
    <mergeCell ref="C89:C91"/>
    <mergeCell ref="C92:C93"/>
    <mergeCell ref="E95:E96"/>
    <mergeCell ref="C95:C97"/>
    <mergeCell ref="C100:C103"/>
    <mergeCell ref="A76:AK76"/>
    <mergeCell ref="A77:A85"/>
    <mergeCell ref="A86:AK86"/>
    <mergeCell ref="AG87:AK87"/>
    <mergeCell ref="AG77:AK77"/>
    <mergeCell ref="G77:G78"/>
    <mergeCell ref="H77:S77"/>
    <mergeCell ref="F63:F64"/>
    <mergeCell ref="C25:C27"/>
    <mergeCell ref="C29:C30"/>
  </mergeCells>
  <printOptions horizontalCentered="1" verticalCentered="1"/>
  <pageMargins left="0.31496062992125984" right="0.70866141732283472" top="0.35433070866141736" bottom="0.35433070866141736" header="0.31496062992125984" footer="0.31496062992125984"/>
  <pageSetup paperSize="14" scale="30" fitToHeight="0" orientation="landscape" r:id="rId1"/>
  <rowBreaks count="6" manualBreakCount="6">
    <brk id="18" max="16383" man="1"/>
    <brk id="36" max="16383" man="1"/>
    <brk id="45" max="16383" man="1"/>
    <brk id="61" max="16383" man="1"/>
    <brk id="75" max="16383" man="1"/>
    <brk id="85" max="16383" man="1"/>
  </rowBreaks>
  <ignoredErrors>
    <ignoredError sqref="AG33"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PAI DTB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Marly Andrea Parra Gonzalez</dc:creator>
  <cp:lastModifiedBy>Anyi Yulieth Santos Suarez</cp:lastModifiedBy>
  <cp:lastPrinted>2021-06-18T15:23:46Z</cp:lastPrinted>
  <dcterms:created xsi:type="dcterms:W3CDTF">2019-07-22T22:25:03Z</dcterms:created>
  <dcterms:modified xsi:type="dcterms:W3CDTF">2021-09-22T20:05:24Z</dcterms:modified>
</cp:coreProperties>
</file>