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hidePivotFieldList="1" defaultThemeVersion="124226"/>
  <mc:AlternateContent xmlns:mc="http://schemas.openxmlformats.org/markup-compatibility/2006">
    <mc:Choice Requires="x15">
      <x15ac:absPath xmlns:x15ac="http://schemas.microsoft.com/office/spreadsheetml/2010/11/ac" url="C:\Users\asantos\Desktop\ANYI planeación\ANYI\2022\MESAS DE TRABAJO 2022\SOPORTES MR - PAC\MAPA DE RIESGOS\"/>
    </mc:Choice>
  </mc:AlternateContent>
  <xr:revisionPtr revIDLastSave="0" documentId="8_{6ADD5F60-BE00-4E8E-95B5-D30FC7218B1B}" xr6:coauthVersionLast="47" xr6:coauthVersionMax="47" xr10:uidLastSave="{00000000-0000-0000-0000-000000000000}"/>
  <bookViews>
    <workbookView xWindow="-120" yWindow="-120" windowWidth="20730" windowHeight="11160" tabRatio="882" activeTab="1" xr2:uid="{00000000-000D-0000-FFFF-FFFF00000000}"/>
  </bookViews>
  <sheets>
    <sheet name="Intructivo" sheetId="20" r:id="rId1"/>
    <sheet name="MAPA V5 2022" sheetId="1" r:id="rId2"/>
    <sheet name="Matriz Calor Inherente" sheetId="18" r:id="rId3"/>
    <sheet name="Matriz Calor Residual" sheetId="19" r:id="rId4"/>
    <sheet name="Tabla probabilidad" sheetId="12" r:id="rId5"/>
    <sheet name="Tabla Impacto" sheetId="13" r:id="rId6"/>
    <sheet name="Opciones Tratamiento" sheetId="16" state="hidden" r:id="rId7"/>
    <sheet name="Hoja1" sheetId="11" state="hidden" r:id="rId8"/>
  </sheets>
  <externalReferences>
    <externalReference r:id="rId9"/>
    <externalReference r:id="rId10"/>
    <externalReference r:id="rId11"/>
  </externalReferences>
  <definedNames>
    <definedName name="_xlnm._FilterDatabase" localSheetId="1" hidden="1">'MAPA V5 2022'!$A$6:$BR$66</definedName>
  </definedNames>
  <calcPr calcId="191029"/>
  <pivotCaches>
    <pivotCache cacheId="0" r:id="rId12"/>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7" i="1" l="1"/>
  <c r="K7" i="1" s="1"/>
  <c r="M7" i="1"/>
  <c r="N7" i="1" s="1"/>
  <c r="S7" i="1"/>
  <c r="V7" i="1"/>
  <c r="J8" i="1"/>
  <c r="M8" i="1"/>
  <c r="N8" i="1" s="1"/>
  <c r="O8" i="1" s="1"/>
  <c r="S8" i="1"/>
  <c r="V8" i="1"/>
  <c r="J9" i="1"/>
  <c r="M9" i="1"/>
  <c r="N9" i="1" s="1"/>
  <c r="O9" i="1" s="1"/>
  <c r="S9" i="1"/>
  <c r="V9" i="1"/>
  <c r="J10" i="1"/>
  <c r="K10" i="1" s="1"/>
  <c r="M10" i="1"/>
  <c r="N10" i="1" s="1"/>
  <c r="S10" i="1"/>
  <c r="V10" i="1"/>
  <c r="J11" i="1"/>
  <c r="K11" i="1" s="1"/>
  <c r="M11" i="1"/>
  <c r="N11" i="1" s="1"/>
  <c r="S11" i="1"/>
  <c r="V11" i="1"/>
  <c r="J12" i="1"/>
  <c r="K12" i="1" s="1"/>
  <c r="M12" i="1"/>
  <c r="N12" i="1" s="1"/>
  <c r="S12" i="1"/>
  <c r="V12" i="1"/>
  <c r="J13" i="1"/>
  <c r="M13" i="1"/>
  <c r="N13" i="1" s="1"/>
  <c r="O13" i="1" s="1"/>
  <c r="S13" i="1"/>
  <c r="V13" i="1"/>
  <c r="J14" i="1"/>
  <c r="K14" i="1" s="1"/>
  <c r="M14" i="1"/>
  <c r="N14" i="1" s="1"/>
  <c r="O14" i="1" s="1"/>
  <c r="S14" i="1"/>
  <c r="V14" i="1"/>
  <c r="J15" i="1"/>
  <c r="K15" i="1" s="1"/>
  <c r="M15" i="1"/>
  <c r="N15" i="1" s="1"/>
  <c r="S15" i="1"/>
  <c r="V15" i="1"/>
  <c r="J16" i="1"/>
  <c r="M16" i="1"/>
  <c r="N16" i="1" s="1"/>
  <c r="O16" i="1" s="1"/>
  <c r="S16" i="1"/>
  <c r="V16" i="1"/>
  <c r="J17" i="1"/>
  <c r="M17" i="1"/>
  <c r="N17" i="1" s="1"/>
  <c r="O17" i="1" s="1"/>
  <c r="S17" i="1"/>
  <c r="V17" i="1"/>
  <c r="J18" i="1"/>
  <c r="K18" i="1" s="1"/>
  <c r="M18" i="1"/>
  <c r="N18" i="1" s="1"/>
  <c r="S18" i="1"/>
  <c r="V18" i="1"/>
  <c r="J19" i="1"/>
  <c r="K19" i="1" s="1"/>
  <c r="M19" i="1"/>
  <c r="N19" i="1" s="1"/>
  <c r="S19" i="1"/>
  <c r="V19" i="1"/>
  <c r="J20" i="1"/>
  <c r="K20" i="1" s="1"/>
  <c r="M20" i="1"/>
  <c r="N20" i="1" s="1"/>
  <c r="S20" i="1"/>
  <c r="V20" i="1"/>
  <c r="J21" i="1"/>
  <c r="K21" i="1" s="1"/>
  <c r="M21" i="1"/>
  <c r="N21" i="1" s="1"/>
  <c r="O21" i="1" s="1"/>
  <c r="S21" i="1"/>
  <c r="V21" i="1"/>
  <c r="J22" i="1"/>
  <c r="K22" i="1" s="1"/>
  <c r="M22" i="1"/>
  <c r="N22" i="1" s="1"/>
  <c r="O22" i="1" s="1"/>
  <c r="S22" i="1"/>
  <c r="V22" i="1"/>
  <c r="J23" i="1"/>
  <c r="K23" i="1" s="1"/>
  <c r="M23" i="1"/>
  <c r="N23" i="1" s="1"/>
  <c r="S23" i="1"/>
  <c r="V23" i="1"/>
  <c r="J24" i="1"/>
  <c r="K24" i="1" s="1"/>
  <c r="M24" i="1"/>
  <c r="N24" i="1" s="1"/>
  <c r="O24" i="1" s="1"/>
  <c r="S24" i="1"/>
  <c r="V24" i="1"/>
  <c r="J25" i="1"/>
  <c r="M25" i="1"/>
  <c r="N25" i="1" s="1"/>
  <c r="O25" i="1" s="1"/>
  <c r="S25" i="1"/>
  <c r="V25" i="1"/>
  <c r="J26" i="1"/>
  <c r="K26" i="1" s="1"/>
  <c r="M26" i="1"/>
  <c r="N26" i="1" s="1"/>
  <c r="S26" i="1"/>
  <c r="V26" i="1"/>
  <c r="J27" i="1"/>
  <c r="K27" i="1" s="1"/>
  <c r="M27" i="1"/>
  <c r="N27" i="1" s="1"/>
  <c r="S27" i="1"/>
  <c r="V27" i="1"/>
  <c r="J28" i="1"/>
  <c r="K28" i="1" s="1"/>
  <c r="M28" i="1"/>
  <c r="N28" i="1" s="1"/>
  <c r="S28" i="1"/>
  <c r="V28" i="1"/>
  <c r="J29" i="1"/>
  <c r="K29" i="1"/>
  <c r="M29" i="1"/>
  <c r="N29" i="1" s="1"/>
  <c r="O29" i="1" s="1"/>
  <c r="S29" i="1"/>
  <c r="V29" i="1"/>
  <c r="J30" i="1"/>
  <c r="K30" i="1" s="1"/>
  <c r="M30" i="1"/>
  <c r="N30" i="1" s="1"/>
  <c r="O30" i="1" s="1"/>
  <c r="S30" i="1"/>
  <c r="V30" i="1"/>
  <c r="J31" i="1"/>
  <c r="K31" i="1" s="1"/>
  <c r="M31" i="1"/>
  <c r="N31" i="1" s="1"/>
  <c r="S31" i="1"/>
  <c r="V31" i="1"/>
  <c r="J32" i="1"/>
  <c r="K32" i="1" s="1"/>
  <c r="M32" i="1"/>
  <c r="N32" i="1" s="1"/>
  <c r="O32" i="1" s="1"/>
  <c r="J33" i="1"/>
  <c r="K33" i="1" s="1"/>
  <c r="M33" i="1"/>
  <c r="N33" i="1" s="1"/>
  <c r="O33" i="1" s="1"/>
  <c r="S33" i="1"/>
  <c r="V33" i="1"/>
  <c r="J34" i="1"/>
  <c r="K34" i="1" s="1"/>
  <c r="M34" i="1"/>
  <c r="N34" i="1" s="1"/>
  <c r="O34" i="1" s="1"/>
  <c r="S34" i="1"/>
  <c r="V34" i="1"/>
  <c r="J35" i="1"/>
  <c r="K35" i="1" s="1"/>
  <c r="M35" i="1"/>
  <c r="N35" i="1" s="1"/>
  <c r="S35" i="1"/>
  <c r="V35" i="1"/>
  <c r="J36" i="1"/>
  <c r="K36" i="1" s="1"/>
  <c r="M36" i="1"/>
  <c r="N36" i="1" s="1"/>
  <c r="O36" i="1" s="1"/>
  <c r="S36" i="1"/>
  <c r="V36" i="1"/>
  <c r="J37" i="1"/>
  <c r="M37" i="1"/>
  <c r="N37" i="1" s="1"/>
  <c r="O37" i="1" s="1"/>
  <c r="S37" i="1"/>
  <c r="V37" i="1"/>
  <c r="J38" i="1"/>
  <c r="K38" i="1" s="1"/>
  <c r="M38" i="1"/>
  <c r="N38" i="1" s="1"/>
  <c r="S38" i="1"/>
  <c r="V38" i="1"/>
  <c r="J39" i="1"/>
  <c r="K39" i="1" s="1"/>
  <c r="M39" i="1"/>
  <c r="N39" i="1" s="1"/>
  <c r="S39" i="1"/>
  <c r="V39" i="1"/>
  <c r="J40" i="1"/>
  <c r="K40" i="1" s="1"/>
  <c r="M40" i="1"/>
  <c r="N40" i="1" s="1"/>
  <c r="S40" i="1"/>
  <c r="V40" i="1"/>
  <c r="J41" i="1"/>
  <c r="K41" i="1" s="1"/>
  <c r="M41" i="1"/>
  <c r="N41" i="1" s="1"/>
  <c r="O41" i="1" s="1"/>
  <c r="S41" i="1"/>
  <c r="V41" i="1"/>
  <c r="J42" i="1"/>
  <c r="K42" i="1" s="1"/>
  <c r="M42" i="1"/>
  <c r="N42" i="1" s="1"/>
  <c r="O42" i="1" s="1"/>
  <c r="S42" i="1"/>
  <c r="V42" i="1"/>
  <c r="J43" i="1"/>
  <c r="K43" i="1" s="1"/>
  <c r="M43" i="1"/>
  <c r="N43" i="1" s="1"/>
  <c r="S43" i="1"/>
  <c r="V43" i="1"/>
  <c r="J44" i="1"/>
  <c r="K44" i="1" s="1"/>
  <c r="M44" i="1"/>
  <c r="N44" i="1" s="1"/>
  <c r="O44" i="1" s="1"/>
  <c r="S44" i="1"/>
  <c r="V44" i="1"/>
  <c r="J45" i="1"/>
  <c r="M45" i="1"/>
  <c r="N45" i="1" s="1"/>
  <c r="O45" i="1" s="1"/>
  <c r="S45" i="1"/>
  <c r="V45" i="1"/>
  <c r="J46" i="1"/>
  <c r="K46" i="1" s="1"/>
  <c r="M46" i="1"/>
  <c r="N46" i="1" s="1"/>
  <c r="S46" i="1"/>
  <c r="V46" i="1"/>
  <c r="J47" i="1"/>
  <c r="K47" i="1" s="1"/>
  <c r="M47" i="1"/>
  <c r="N47" i="1" s="1"/>
  <c r="S47" i="1"/>
  <c r="V47" i="1"/>
  <c r="J48" i="1"/>
  <c r="K48" i="1" s="1"/>
  <c r="M48" i="1"/>
  <c r="N48" i="1" s="1"/>
  <c r="S48" i="1"/>
  <c r="V48" i="1"/>
  <c r="J49" i="1"/>
  <c r="M49" i="1"/>
  <c r="N49" i="1" s="1"/>
  <c r="O49" i="1" s="1"/>
  <c r="S49" i="1"/>
  <c r="V49" i="1"/>
  <c r="J50" i="1"/>
  <c r="K50" i="1" s="1"/>
  <c r="M50" i="1"/>
  <c r="N50" i="1" s="1"/>
  <c r="O50" i="1" s="1"/>
  <c r="S50" i="1"/>
  <c r="V50" i="1"/>
  <c r="J51" i="1"/>
  <c r="K51" i="1" s="1"/>
  <c r="M51" i="1"/>
  <c r="N51" i="1" s="1"/>
  <c r="S51" i="1"/>
  <c r="V51" i="1"/>
  <c r="J52" i="1"/>
  <c r="M52" i="1"/>
  <c r="N52" i="1" s="1"/>
  <c r="O52" i="1" s="1"/>
  <c r="S52" i="1"/>
  <c r="V52" i="1"/>
  <c r="J53" i="1"/>
  <c r="M53" i="1"/>
  <c r="N53" i="1" s="1"/>
  <c r="O53" i="1" s="1"/>
  <c r="S53" i="1"/>
  <c r="V53" i="1"/>
  <c r="J54" i="1"/>
  <c r="K54" i="1" s="1"/>
  <c r="M54" i="1"/>
  <c r="N54" i="1" s="1"/>
  <c r="S54" i="1"/>
  <c r="V54" i="1"/>
  <c r="J55" i="1"/>
  <c r="K55" i="1" s="1"/>
  <c r="M55" i="1"/>
  <c r="N55" i="1" s="1"/>
  <c r="S55" i="1"/>
  <c r="V55" i="1"/>
  <c r="J56" i="1"/>
  <c r="K56" i="1" s="1"/>
  <c r="M56" i="1"/>
  <c r="N56" i="1" s="1"/>
  <c r="S56" i="1"/>
  <c r="V56" i="1"/>
  <c r="J57" i="1"/>
  <c r="K57" i="1" s="1"/>
  <c r="M57" i="1"/>
  <c r="N57" i="1" s="1"/>
  <c r="O57" i="1" s="1"/>
  <c r="S57" i="1"/>
  <c r="V57" i="1"/>
  <c r="J58" i="1"/>
  <c r="K58" i="1" s="1"/>
  <c r="M58" i="1"/>
  <c r="N58" i="1" s="1"/>
  <c r="O58" i="1" s="1"/>
  <c r="S58" i="1"/>
  <c r="V58" i="1"/>
  <c r="J59" i="1"/>
  <c r="K59" i="1" s="1"/>
  <c r="M59" i="1"/>
  <c r="N59" i="1" s="1"/>
  <c r="S59" i="1"/>
  <c r="V59" i="1"/>
  <c r="J60" i="1"/>
  <c r="K60" i="1" s="1"/>
  <c r="M60" i="1"/>
  <c r="N60" i="1" s="1"/>
  <c r="O60" i="1" s="1"/>
  <c r="S60" i="1"/>
  <c r="V60" i="1"/>
  <c r="J61" i="1"/>
  <c r="M61" i="1"/>
  <c r="N61" i="1" s="1"/>
  <c r="O61" i="1" s="1"/>
  <c r="S61" i="1"/>
  <c r="V61" i="1"/>
  <c r="J62" i="1"/>
  <c r="K62" i="1" s="1"/>
  <c r="M62" i="1"/>
  <c r="N62" i="1" s="1"/>
  <c r="S62" i="1"/>
  <c r="V62" i="1"/>
  <c r="J63" i="1"/>
  <c r="K63" i="1" s="1"/>
  <c r="M63" i="1"/>
  <c r="N63" i="1" s="1"/>
  <c r="S63" i="1"/>
  <c r="V63" i="1"/>
  <c r="J64" i="1"/>
  <c r="K64" i="1" s="1"/>
  <c r="M64" i="1"/>
  <c r="N64" i="1" s="1"/>
  <c r="S64" i="1"/>
  <c r="V64" i="1"/>
  <c r="J65" i="1"/>
  <c r="K65" i="1" s="1"/>
  <c r="M65" i="1"/>
  <c r="N65" i="1" s="1"/>
  <c r="O65" i="1" s="1"/>
  <c r="S65" i="1"/>
  <c r="V65" i="1"/>
  <c r="J66" i="1"/>
  <c r="K66" i="1" s="1"/>
  <c r="M66" i="1"/>
  <c r="N66" i="1" s="1"/>
  <c r="O66" i="1" s="1"/>
  <c r="S66" i="1"/>
  <c r="V66" i="1"/>
  <c r="P63" i="1" l="1"/>
  <c r="AD57" i="1"/>
  <c r="AC57" i="1" s="1"/>
  <c r="AD66" i="1"/>
  <c r="AC66" i="1" s="1"/>
  <c r="AD58" i="1"/>
  <c r="AC58" i="1" s="1"/>
  <c r="AD30" i="1"/>
  <c r="AC30" i="1" s="1"/>
  <c r="AD34" i="1"/>
  <c r="AC34" i="1" s="1"/>
  <c r="AD22" i="1"/>
  <c r="AC22" i="1" s="1"/>
  <c r="AD14" i="1"/>
  <c r="AC14" i="1" s="1"/>
  <c r="Z42" i="1"/>
  <c r="AA42" i="1" s="1"/>
  <c r="Z38" i="1"/>
  <c r="AD41" i="1"/>
  <c r="AC41" i="1" s="1"/>
  <c r="Z26" i="1"/>
  <c r="AA26" i="1" s="1"/>
  <c r="Z18" i="1"/>
  <c r="AB18" i="1" s="1"/>
  <c r="Z10" i="1"/>
  <c r="AA10" i="1" s="1"/>
  <c r="AD25" i="1"/>
  <c r="AC25" i="1" s="1"/>
  <c r="P52" i="1"/>
  <c r="Z66" i="1"/>
  <c r="AB66" i="1" s="1"/>
  <c r="P11" i="1"/>
  <c r="Z23" i="1"/>
  <c r="AA23" i="1" s="1"/>
  <c r="Z43" i="1"/>
  <c r="AA43" i="1" s="1"/>
  <c r="Z65" i="1"/>
  <c r="AB65" i="1" s="1"/>
  <c r="P39" i="1"/>
  <c r="Z58" i="1"/>
  <c r="Z47" i="1"/>
  <c r="P17" i="1"/>
  <c r="P13" i="1"/>
  <c r="AD42" i="1"/>
  <c r="AC42" i="1" s="1"/>
  <c r="Z20" i="1"/>
  <c r="AB20" i="1" s="1"/>
  <c r="Z12" i="1"/>
  <c r="AB12" i="1" s="1"/>
  <c r="Z27" i="1"/>
  <c r="AA27" i="1" s="1"/>
  <c r="P57" i="1"/>
  <c r="AD45" i="1"/>
  <c r="AC45" i="1" s="1"/>
  <c r="P16" i="1"/>
  <c r="P60" i="1"/>
  <c r="P49" i="1"/>
  <c r="P8" i="1"/>
  <c r="P45" i="1"/>
  <c r="Z63" i="1"/>
  <c r="AA63" i="1" s="1"/>
  <c r="Z34" i="1"/>
  <c r="AA34" i="1" s="1"/>
  <c r="Z33" i="1"/>
  <c r="AB33" i="1" s="1"/>
  <c r="Z29" i="1"/>
  <c r="AA29" i="1" s="1"/>
  <c r="Z22" i="1"/>
  <c r="AB22" i="1" s="1"/>
  <c r="Z21" i="1"/>
  <c r="P55" i="1"/>
  <c r="O55" i="1"/>
  <c r="AD55" i="1" s="1"/>
  <c r="AC55" i="1" s="1"/>
  <c r="P47" i="1"/>
  <c r="O47" i="1"/>
  <c r="AD47" i="1" s="1"/>
  <c r="AC47" i="1" s="1"/>
  <c r="AA65" i="1"/>
  <c r="P27" i="1"/>
  <c r="O27" i="1"/>
  <c r="AD27" i="1" s="1"/>
  <c r="AC27" i="1" s="1"/>
  <c r="P19" i="1"/>
  <c r="O19" i="1"/>
  <c r="AD19" i="1" s="1"/>
  <c r="AC19" i="1" s="1"/>
  <c r="AD50" i="1"/>
  <c r="AC50" i="1" s="1"/>
  <c r="Z31" i="1"/>
  <c r="AB31" i="1" s="1"/>
  <c r="AD53" i="1"/>
  <c r="AC53" i="1" s="1"/>
  <c r="Z50" i="1"/>
  <c r="AA50" i="1" s="1"/>
  <c r="Z28" i="1"/>
  <c r="AB28" i="1" s="1"/>
  <c r="Z44" i="1"/>
  <c r="AA44" i="1" s="1"/>
  <c r="Z24" i="1"/>
  <c r="AB24" i="1" s="1"/>
  <c r="Z15" i="1"/>
  <c r="AA15" i="1" s="1"/>
  <c r="AD65" i="1"/>
  <c r="AC65" i="1" s="1"/>
  <c r="Z46" i="1"/>
  <c r="AB46" i="1" s="1"/>
  <c r="Z62" i="1"/>
  <c r="AA62" i="1" s="1"/>
  <c r="P53" i="1"/>
  <c r="AD49" i="1"/>
  <c r="AC49" i="1" s="1"/>
  <c r="Z40" i="1"/>
  <c r="AB40" i="1" s="1"/>
  <c r="P37" i="1"/>
  <c r="Z56" i="1"/>
  <c r="AA56" i="1" s="1"/>
  <c r="Z30" i="1"/>
  <c r="AB30" i="1" s="1"/>
  <c r="K52" i="1"/>
  <c r="Z52" i="1" s="1"/>
  <c r="K49" i="1"/>
  <c r="Z49" i="1" s="1"/>
  <c r="Z36" i="1"/>
  <c r="AA36" i="1" s="1"/>
  <c r="Z14" i="1"/>
  <c r="AA14" i="1" s="1"/>
  <c r="AE14" i="1" s="1"/>
  <c r="O39" i="1"/>
  <c r="AD39" i="1" s="1"/>
  <c r="AC39" i="1" s="1"/>
  <c r="O11" i="1"/>
  <c r="AD11" i="1" s="1"/>
  <c r="AC11" i="1" s="1"/>
  <c r="K8" i="1"/>
  <c r="Z8" i="1" s="1"/>
  <c r="Z64" i="1"/>
  <c r="AA64" i="1" s="1"/>
  <c r="P61" i="1"/>
  <c r="Z57" i="1"/>
  <c r="Z54" i="1"/>
  <c r="AB54" i="1" s="1"/>
  <c r="AD13" i="1"/>
  <c r="AC13" i="1" s="1"/>
  <c r="Z7" i="1"/>
  <c r="AB7" i="1" s="1"/>
  <c r="Z41" i="1"/>
  <c r="Z60" i="1"/>
  <c r="AA60" i="1" s="1"/>
  <c r="Z48" i="1"/>
  <c r="AB48" i="1" s="1"/>
  <c r="O63" i="1"/>
  <c r="AD63" i="1" s="1"/>
  <c r="AC63" i="1" s="1"/>
  <c r="K16" i="1"/>
  <c r="Z16" i="1" s="1"/>
  <c r="AA16" i="1" s="1"/>
  <c r="K13" i="1"/>
  <c r="Z13" i="1" s="1"/>
  <c r="P10" i="1"/>
  <c r="O10" i="1"/>
  <c r="AD10" i="1" s="1"/>
  <c r="AC10" i="1" s="1"/>
  <c r="O31" i="1"/>
  <c r="AD31" i="1" s="1"/>
  <c r="AC31" i="1" s="1"/>
  <c r="P31" i="1"/>
  <c r="O28" i="1"/>
  <c r="AD28" i="1" s="1"/>
  <c r="AC28" i="1" s="1"/>
  <c r="P28" i="1"/>
  <c r="P25" i="1"/>
  <c r="Z59" i="1"/>
  <c r="P44" i="1"/>
  <c r="P41" i="1"/>
  <c r="O15" i="1"/>
  <c r="AD15" i="1" s="1"/>
  <c r="AC15" i="1" s="1"/>
  <c r="P15" i="1"/>
  <c r="AA31" i="1"/>
  <c r="O59" i="1"/>
  <c r="AD59" i="1" s="1"/>
  <c r="AC59" i="1" s="1"/>
  <c r="P59" i="1"/>
  <c r="O56" i="1"/>
  <c r="AD56" i="1" s="1"/>
  <c r="AC56" i="1" s="1"/>
  <c r="P56" i="1"/>
  <c r="AD37" i="1"/>
  <c r="AC37" i="1" s="1"/>
  <c r="AD21" i="1"/>
  <c r="AC21" i="1" s="1"/>
  <c r="P18" i="1"/>
  <c r="O18" i="1"/>
  <c r="AD18" i="1" s="1"/>
  <c r="AC18" i="1" s="1"/>
  <c r="AD9" i="1"/>
  <c r="AC9" i="1" s="1"/>
  <c r="O12" i="1"/>
  <c r="AD12" i="1" s="1"/>
  <c r="AC12" i="1" s="1"/>
  <c r="P12" i="1"/>
  <c r="AA38" i="1"/>
  <c r="AB38" i="1"/>
  <c r="O43" i="1"/>
  <c r="AD43" i="1" s="1"/>
  <c r="AC43" i="1" s="1"/>
  <c r="P43" i="1"/>
  <c r="P40" i="1"/>
  <c r="O40" i="1"/>
  <c r="AD40" i="1" s="1"/>
  <c r="AC40" i="1" s="1"/>
  <c r="P9" i="1"/>
  <c r="O46" i="1"/>
  <c r="AD46" i="1" s="1"/>
  <c r="AC46" i="1" s="1"/>
  <c r="P46" i="1"/>
  <c r="P24" i="1"/>
  <c r="P21" i="1"/>
  <c r="AA18" i="1"/>
  <c r="Z55" i="1"/>
  <c r="P65" i="1"/>
  <c r="AD17" i="1"/>
  <c r="AC17" i="1" s="1"/>
  <c r="P62" i="1"/>
  <c r="O62" i="1"/>
  <c r="AD62" i="1" s="1"/>
  <c r="AC62" i="1" s="1"/>
  <c r="AD61" i="1"/>
  <c r="AC61" i="1" s="1"/>
  <c r="Z39" i="1"/>
  <c r="AD33" i="1"/>
  <c r="AC33" i="1" s="1"/>
  <c r="Z11" i="1"/>
  <c r="AA47" i="1"/>
  <c r="AB47" i="1"/>
  <c r="AA58" i="1"/>
  <c r="AB58" i="1"/>
  <c r="P23" i="1"/>
  <c r="O23" i="1"/>
  <c r="AD23" i="1" s="1"/>
  <c r="AC23" i="1" s="1"/>
  <c r="O20" i="1"/>
  <c r="AD20" i="1" s="1"/>
  <c r="AC20" i="1" s="1"/>
  <c r="P20" i="1"/>
  <c r="O38" i="1"/>
  <c r="AD38" i="1" s="1"/>
  <c r="AC38" i="1" s="1"/>
  <c r="P38" i="1"/>
  <c r="Z51" i="1"/>
  <c r="P36" i="1"/>
  <c r="P33" i="1"/>
  <c r="AD29" i="1"/>
  <c r="AC29" i="1" s="1"/>
  <c r="P26" i="1"/>
  <c r="O26" i="1"/>
  <c r="AD26" i="1" s="1"/>
  <c r="AC26" i="1" s="1"/>
  <c r="P48" i="1"/>
  <c r="O48" i="1"/>
  <c r="AD48" i="1" s="1"/>
  <c r="AC48" i="1" s="1"/>
  <c r="Z19" i="1"/>
  <c r="AA22" i="1"/>
  <c r="AE22" i="1" s="1"/>
  <c r="O51" i="1"/>
  <c r="AD51" i="1" s="1"/>
  <c r="AC51" i="1" s="1"/>
  <c r="P51" i="1"/>
  <c r="P54" i="1"/>
  <c r="O54" i="1"/>
  <c r="AD54" i="1" s="1"/>
  <c r="AC54" i="1" s="1"/>
  <c r="Z35" i="1"/>
  <c r="O7" i="1"/>
  <c r="AD7" i="1" s="1"/>
  <c r="AC7" i="1" s="1"/>
  <c r="P7" i="1"/>
  <c r="O64" i="1"/>
  <c r="AD64" i="1" s="1"/>
  <c r="AC64" i="1" s="1"/>
  <c r="P64" i="1"/>
  <c r="P35" i="1"/>
  <c r="O35" i="1"/>
  <c r="AD35" i="1" s="1"/>
  <c r="AC35" i="1" s="1"/>
  <c r="P32" i="1"/>
  <c r="P29" i="1"/>
  <c r="K61" i="1"/>
  <c r="Z61" i="1" s="1"/>
  <c r="K53" i="1"/>
  <c r="Z53" i="1" s="1"/>
  <c r="K45" i="1"/>
  <c r="Z45" i="1" s="1"/>
  <c r="K37" i="1"/>
  <c r="Z37" i="1" s="1"/>
  <c r="K25" i="1"/>
  <c r="Z25" i="1" s="1"/>
  <c r="K17" i="1"/>
  <c r="Z17" i="1" s="1"/>
  <c r="K9" i="1"/>
  <c r="Z9" i="1" s="1"/>
  <c r="AD44" i="1"/>
  <c r="AC44" i="1" s="1"/>
  <c r="AD36" i="1"/>
  <c r="AC36" i="1" s="1"/>
  <c r="AD24" i="1"/>
  <c r="AC24" i="1" s="1"/>
  <c r="AD16" i="1"/>
  <c r="AC16" i="1" s="1"/>
  <c r="AD8" i="1"/>
  <c r="AC8" i="1" s="1"/>
  <c r="AD52" i="1"/>
  <c r="AC52" i="1" s="1"/>
  <c r="AD60" i="1"/>
  <c r="AC60" i="1" s="1"/>
  <c r="P66" i="1"/>
  <c r="P58" i="1"/>
  <c r="P50" i="1"/>
  <c r="P42" i="1"/>
  <c r="P34" i="1"/>
  <c r="P30" i="1"/>
  <c r="P22" i="1"/>
  <c r="P14" i="1"/>
  <c r="F221" i="13"/>
  <c r="F211" i="13"/>
  <c r="F212" i="13"/>
  <c r="F213" i="13"/>
  <c r="F214" i="13"/>
  <c r="F215" i="13"/>
  <c r="F216" i="13"/>
  <c r="F217" i="13"/>
  <c r="F218" i="13"/>
  <c r="F219" i="13"/>
  <c r="F220" i="13"/>
  <c r="F210" i="13"/>
  <c r="B221" i="13" a="1"/>
  <c r="AA28" i="1" l="1"/>
  <c r="AE28" i="1" s="1"/>
  <c r="AB43" i="1"/>
  <c r="AB14" i="1"/>
  <c r="AE58" i="1"/>
  <c r="AE42" i="1"/>
  <c r="AB42" i="1"/>
  <c r="AA12" i="1"/>
  <c r="AE12" i="1" s="1"/>
  <c r="AA48" i="1"/>
  <c r="AE48" i="1" s="1"/>
  <c r="AA30" i="1"/>
  <c r="AE30" i="1" s="1"/>
  <c r="AA24" i="1"/>
  <c r="AE24" i="1" s="1"/>
  <c r="AA33" i="1"/>
  <c r="AE33" i="1" s="1"/>
  <c r="AA20" i="1"/>
  <c r="AE20" i="1" s="1"/>
  <c r="AA7" i="1"/>
  <c r="AE7" i="1" s="1"/>
  <c r="AB10" i="1"/>
  <c r="AB63" i="1"/>
  <c r="AB64" i="1"/>
  <c r="AB26" i="1"/>
  <c r="AA46" i="1"/>
  <c r="AE46" i="1" s="1"/>
  <c r="AB60" i="1"/>
  <c r="AB27" i="1"/>
  <c r="AE34" i="1"/>
  <c r="AA66" i="1"/>
  <c r="AE66" i="1" s="1"/>
  <c r="AB62" i="1"/>
  <c r="AE44" i="1"/>
  <c r="AB34" i="1"/>
  <c r="AB23" i="1"/>
  <c r="AB36" i="1"/>
  <c r="AB56" i="1"/>
  <c r="AB50" i="1"/>
  <c r="AB8" i="1"/>
  <c r="AA8" i="1"/>
  <c r="AE8" i="1" s="1"/>
  <c r="AE65" i="1"/>
  <c r="AE50" i="1"/>
  <c r="AB44" i="1"/>
  <c r="AB29" i="1"/>
  <c r="AE16" i="1"/>
  <c r="AB15" i="1"/>
  <c r="AA52" i="1"/>
  <c r="AE52" i="1" s="1"/>
  <c r="AB52" i="1"/>
  <c r="AA57" i="1"/>
  <c r="AE57" i="1" s="1"/>
  <c r="AB57" i="1"/>
  <c r="AE29" i="1"/>
  <c r="AA54" i="1"/>
  <c r="AE54" i="1" s="1"/>
  <c r="AE60" i="1"/>
  <c r="AA13" i="1"/>
  <c r="AE13" i="1" s="1"/>
  <c r="AB13" i="1"/>
  <c r="AA49" i="1"/>
  <c r="AE49" i="1" s="1"/>
  <c r="AB49" i="1"/>
  <c r="AE47" i="1"/>
  <c r="AB16" i="1"/>
  <c r="AA40" i="1"/>
  <c r="AE40" i="1" s="1"/>
  <c r="AA41" i="1"/>
  <c r="AE41" i="1" s="1"/>
  <c r="AB41" i="1"/>
  <c r="AA21" i="1"/>
  <c r="AE21" i="1" s="1"/>
  <c r="AB21" i="1"/>
  <c r="AE64" i="1"/>
  <c r="AA11" i="1"/>
  <c r="AE11" i="1" s="1"/>
  <c r="AB11" i="1"/>
  <c r="AE31" i="1"/>
  <c r="AA19" i="1"/>
  <c r="AE19" i="1" s="1"/>
  <c r="AB19" i="1"/>
  <c r="AA9" i="1"/>
  <c r="AE9" i="1" s="1"/>
  <c r="AB9" i="1"/>
  <c r="AE26" i="1"/>
  <c r="AE63" i="1"/>
  <c r="AE18" i="1"/>
  <c r="AA53" i="1"/>
  <c r="AE53" i="1" s="1"/>
  <c r="AB53" i="1"/>
  <c r="AA61" i="1"/>
  <c r="AE61" i="1" s="1"/>
  <c r="AB61" i="1"/>
  <c r="AE62" i="1"/>
  <c r="AE36" i="1"/>
  <c r="AA55" i="1"/>
  <c r="AE55" i="1" s="1"/>
  <c r="AB55" i="1"/>
  <c r="AE23" i="1"/>
  <c r="AA39" i="1"/>
  <c r="AE39" i="1" s="1"/>
  <c r="AB39" i="1"/>
  <c r="AE27" i="1"/>
  <c r="AE15" i="1"/>
  <c r="AE56" i="1"/>
  <c r="AA17" i="1"/>
  <c r="AE17" i="1" s="1"/>
  <c r="AB17" i="1"/>
  <c r="AA25" i="1"/>
  <c r="AE25" i="1" s="1"/>
  <c r="AB25" i="1"/>
  <c r="AE43" i="1"/>
  <c r="AE10" i="1"/>
  <c r="AA37" i="1"/>
  <c r="AE37" i="1" s="1"/>
  <c r="AB37" i="1"/>
  <c r="AA35" i="1"/>
  <c r="AE35" i="1" s="1"/>
  <c r="AB35" i="1"/>
  <c r="AA51" i="1"/>
  <c r="AE51" i="1" s="1"/>
  <c r="AB51" i="1"/>
  <c r="AA45" i="1"/>
  <c r="AE45" i="1" s="1"/>
  <c r="AB45" i="1"/>
  <c r="AE38" i="1"/>
  <c r="AA59" i="1"/>
  <c r="AE59" i="1" s="1"/>
  <c r="AB59" i="1"/>
  <c r="B221" i="13"/>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52" i="19" l="1"/>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J11" i="19" l="1"/>
  <c r="V11" i="19"/>
  <c r="AB21" i="19"/>
  <c r="P31" i="19"/>
  <c r="J31" i="19"/>
  <c r="AB41" i="19"/>
  <c r="AH41" i="19"/>
  <c r="P41" i="19"/>
  <c r="J21" i="19"/>
  <c r="AB31" i="19"/>
  <c r="AB51" i="19"/>
  <c r="P21" i="19"/>
  <c r="V41" i="19"/>
  <c r="V31" i="19"/>
  <c r="AH21" i="19"/>
  <c r="AB11" i="19"/>
  <c r="P51" i="19"/>
  <c r="V21" i="19"/>
  <c r="AH31" i="19"/>
  <c r="V51" i="19"/>
  <c r="J51" i="19"/>
  <c r="AH51" i="19"/>
  <c r="AH11" i="19"/>
  <c r="J41" i="19"/>
  <c r="P11" i="19"/>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V32" i="19"/>
  <c r="P42" i="19"/>
  <c r="J12" i="19"/>
  <c r="J32" i="19"/>
  <c r="AB52" i="19"/>
  <c r="J22" i="19"/>
  <c r="V22" i="19"/>
  <c r="J52" i="19"/>
  <c r="AH12" i="19"/>
  <c r="J42" i="19"/>
  <c r="AH42" i="19"/>
  <c r="P32" i="19"/>
  <c r="AB12" i="19"/>
  <c r="AH32" i="19"/>
  <c r="AB32" i="19"/>
  <c r="AB42" i="19"/>
  <c r="V42" i="19"/>
  <c r="V12" i="19"/>
  <c r="V52" i="19"/>
  <c r="AB22" i="19"/>
  <c r="AH52" i="19"/>
  <c r="AH22" i="19"/>
  <c r="P22" i="19"/>
  <c r="P12" i="19"/>
  <c r="P52" i="19"/>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R40" i="19" l="1"/>
  <c r="AD10" i="19"/>
  <c r="X40" i="19"/>
  <c r="AJ10" i="19"/>
  <c r="R50" i="19"/>
  <c r="X10" i="19"/>
  <c r="R30" i="19"/>
  <c r="L10" i="19"/>
  <c r="L50" i="19"/>
  <c r="AJ20" i="19"/>
  <c r="AJ40" i="19"/>
  <c r="AD30" i="19"/>
  <c r="R20" i="19"/>
  <c r="AD50" i="19"/>
  <c r="AJ30" i="19"/>
  <c r="AJ50" i="19"/>
  <c r="X30" i="19"/>
  <c r="AD20" i="19"/>
  <c r="L40" i="19"/>
  <c r="X50" i="19"/>
  <c r="X20" i="19"/>
  <c r="AD40" i="19"/>
  <c r="R10" i="19"/>
  <c r="L30" i="19"/>
  <c r="L20" i="19"/>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 r="X6" i="18" l="1"/>
  <c r="AJ30" i="18"/>
  <c r="R22" i="18"/>
  <c r="L6" i="18"/>
  <c r="R30" i="18"/>
  <c r="X22" i="18"/>
  <c r="X38" i="18"/>
  <c r="AD38" i="18"/>
  <c r="AD22" i="18"/>
  <c r="X14" i="18"/>
  <c r="L30" i="18"/>
  <c r="R38" i="18"/>
  <c r="AJ14" i="18"/>
  <c r="R14" i="18"/>
  <c r="AD6" i="18"/>
  <c r="AD30" i="18"/>
  <c r="AJ38" i="18"/>
  <c r="AJ22" i="18"/>
  <c r="X30" i="18"/>
  <c r="L14" i="18"/>
  <c r="L22" i="18"/>
  <c r="AJ6" i="18"/>
  <c r="L38" i="18"/>
  <c r="AD14" i="18"/>
  <c r="R6" i="18"/>
  <c r="L16" i="18"/>
  <c r="R24" i="18"/>
  <c r="L8" i="18"/>
  <c r="R32" i="18"/>
  <c r="AJ16" i="18"/>
  <c r="R8" i="18"/>
  <c r="AD24" i="18"/>
  <c r="AJ32" i="18"/>
  <c r="AD8" i="18"/>
  <c r="X40" i="18"/>
  <c r="L32" i="18"/>
  <c r="X8" i="18"/>
  <c r="X24" i="18"/>
  <c r="AJ8" i="18"/>
  <c r="R40" i="18"/>
  <c r="L40" i="18"/>
  <c r="X16" i="18"/>
  <c r="L24" i="18"/>
  <c r="AJ24" i="18"/>
  <c r="X32" i="18"/>
  <c r="AJ40" i="18"/>
  <c r="R16" i="18"/>
  <c r="AD40" i="18"/>
  <c r="AD32" i="18"/>
  <c r="AD16" i="18"/>
  <c r="J42" i="18"/>
  <c r="P34" i="18"/>
  <c r="AB18" i="18"/>
  <c r="AB42" i="18"/>
  <c r="AH34" i="18"/>
  <c r="P10" i="18"/>
  <c r="V34" i="18"/>
  <c r="P42" i="18"/>
  <c r="V42" i="18"/>
  <c r="AH42" i="18"/>
  <c r="AB26" i="18"/>
  <c r="AH26" i="18"/>
  <c r="V26" i="18"/>
  <c r="AB34" i="18"/>
  <c r="V10" i="18"/>
  <c r="AH18" i="18"/>
  <c r="J34" i="18"/>
  <c r="J10" i="18"/>
  <c r="AB10" i="18"/>
  <c r="J18" i="18"/>
  <c r="P26" i="18"/>
  <c r="J26" i="18"/>
  <c r="AH10" i="18"/>
  <c r="P18" i="18"/>
  <c r="V18" i="18"/>
  <c r="X42" i="18"/>
  <c r="AD34" i="18"/>
  <c r="AD10" i="18"/>
  <c r="AD26" i="18"/>
  <c r="L10" i="18"/>
  <c r="L42" i="18"/>
  <c r="L26" i="18"/>
  <c r="X18" i="18"/>
  <c r="X34" i="18"/>
  <c r="X10" i="18"/>
  <c r="R18" i="18"/>
  <c r="AJ10" i="18"/>
  <c r="AD42" i="18"/>
  <c r="AJ34" i="18"/>
  <c r="R26" i="18"/>
  <c r="L18" i="18"/>
  <c r="AJ26" i="18"/>
  <c r="AD18" i="18"/>
  <c r="R34" i="18"/>
  <c r="L34" i="18"/>
  <c r="AJ42" i="18"/>
  <c r="R10" i="18"/>
  <c r="R42" i="18"/>
  <c r="X26" i="18"/>
  <c r="AJ18" i="18"/>
  <c r="T14" i="18"/>
  <c r="AL38" i="18"/>
  <c r="N14" i="18"/>
  <c r="Z6" i="18"/>
  <c r="T38" i="18"/>
  <c r="T22" i="18"/>
  <c r="AL14" i="18"/>
  <c r="N22" i="18"/>
  <c r="AF22" i="18"/>
  <c r="N6" i="18"/>
  <c r="AF6" i="18"/>
  <c r="AF38" i="18"/>
  <c r="N38" i="18"/>
  <c r="AL30" i="18"/>
  <c r="AL22" i="18"/>
  <c r="T6" i="18"/>
  <c r="AF14" i="18"/>
  <c r="AF30" i="18"/>
  <c r="Z22" i="18"/>
  <c r="T30" i="18"/>
  <c r="Z30" i="18"/>
  <c r="AL6" i="18"/>
  <c r="Z14" i="18"/>
  <c r="Z38" i="18"/>
  <c r="N30" i="18"/>
  <c r="J40" i="18"/>
  <c r="AB40" i="18"/>
  <c r="AH32" i="18"/>
  <c r="AB24" i="18"/>
  <c r="V16" i="18"/>
  <c r="J16" i="18"/>
  <c r="P32" i="18"/>
  <c r="V24" i="18"/>
  <c r="P24" i="18"/>
  <c r="V40" i="18"/>
  <c r="P16" i="18"/>
  <c r="P40" i="18"/>
  <c r="V32" i="18"/>
  <c r="AH16" i="18"/>
  <c r="AB16" i="18"/>
  <c r="V8" i="18"/>
  <c r="AH24" i="18"/>
  <c r="AH8" i="18"/>
  <c r="AH40" i="18"/>
  <c r="J8" i="18"/>
  <c r="AB32" i="18"/>
  <c r="AB8" i="18"/>
  <c r="J24" i="18"/>
  <c r="J32" i="18"/>
  <c r="P8" i="18"/>
  <c r="Z42" i="18"/>
  <c r="T18" i="18"/>
  <c r="AF34" i="18"/>
  <c r="AF42" i="18"/>
  <c r="N42" i="18"/>
  <c r="Z18" i="18"/>
  <c r="AL10" i="18"/>
  <c r="AL26" i="18"/>
  <c r="AF26" i="18"/>
  <c r="Z10" i="18"/>
  <c r="N18" i="18"/>
  <c r="T26" i="18"/>
  <c r="AF10" i="18"/>
  <c r="T34" i="18"/>
  <c r="N26" i="18"/>
  <c r="AL18" i="18"/>
  <c r="N10" i="18"/>
  <c r="AF18" i="18"/>
  <c r="Z26" i="18"/>
  <c r="AL34" i="18"/>
  <c r="Z34" i="18"/>
  <c r="T10" i="18"/>
  <c r="AL42" i="18"/>
  <c r="N34" i="18"/>
  <c r="T42" i="18"/>
  <c r="P14" i="18"/>
  <c r="V22" i="18"/>
  <c r="V14" i="18"/>
  <c r="P22" i="18"/>
  <c r="V38" i="18"/>
  <c r="AH14" i="18"/>
  <c r="AH38" i="18"/>
  <c r="J14" i="18"/>
  <c r="AB22" i="18"/>
  <c r="V30" i="18"/>
  <c r="AB14" i="18"/>
  <c r="AB38" i="18"/>
  <c r="J30" i="18"/>
  <c r="P38" i="18"/>
  <c r="AB6" i="18"/>
  <c r="AH30" i="18"/>
  <c r="J38" i="18"/>
  <c r="AH6" i="18"/>
  <c r="V6" i="18"/>
  <c r="AB30" i="18"/>
  <c r="J22" i="18"/>
  <c r="J6" i="18"/>
  <c r="P30" i="18"/>
  <c r="AH22" i="18"/>
  <c r="P6" i="18"/>
  <c r="AH12" i="18"/>
  <c r="J20" i="18"/>
  <c r="J44" i="18"/>
  <c r="AB28" i="18"/>
  <c r="P28" i="18"/>
  <c r="P12" i="18"/>
  <c r="AH20" i="18"/>
  <c r="P44" i="18"/>
  <c r="AB12" i="18"/>
  <c r="P20" i="18"/>
  <c r="J36" i="18"/>
  <c r="P36" i="18"/>
  <c r="AB44" i="18"/>
  <c r="V44" i="18"/>
  <c r="J28" i="18"/>
  <c r="AH36" i="18"/>
  <c r="V12" i="18"/>
  <c r="V28" i="18"/>
  <c r="AH44" i="18"/>
  <c r="AB20" i="18"/>
  <c r="AB36" i="18"/>
  <c r="AH28" i="18"/>
  <c r="V36" i="18"/>
  <c r="V20" i="18"/>
  <c r="J12" i="18"/>
  <c r="AF24" i="18"/>
  <c r="AF32" i="18"/>
  <c r="T40" i="18"/>
  <c r="Z40" i="18"/>
  <c r="AL8" i="18"/>
  <c r="AF8" i="18"/>
  <c r="T8" i="18"/>
  <c r="Z16" i="18"/>
  <c r="T24" i="18"/>
  <c r="AL24" i="18"/>
  <c r="Z32" i="18"/>
  <c r="N32" i="18"/>
  <c r="N16" i="18"/>
  <c r="Z8" i="18"/>
  <c r="AL40" i="18"/>
  <c r="N8" i="18"/>
  <c r="N24" i="18"/>
  <c r="T32" i="18"/>
  <c r="T16" i="18"/>
  <c r="AF40" i="18"/>
  <c r="AF16" i="18"/>
  <c r="AL32" i="18"/>
  <c r="N40" i="18"/>
  <c r="Z24" i="18"/>
  <c r="AL16" i="18"/>
  <c r="V30" i="19" l="1"/>
  <c r="AB20" i="19"/>
  <c r="AH50" i="19"/>
  <c r="J20" i="19"/>
  <c r="P40" i="19"/>
  <c r="V40" i="19"/>
  <c r="AH20" i="19"/>
  <c r="J30" i="19"/>
  <c r="V10" i="19"/>
  <c r="P20" i="19"/>
  <c r="P10" i="19"/>
  <c r="AB30" i="19"/>
  <c r="V20" i="19"/>
  <c r="AH10" i="19"/>
  <c r="AB50" i="19"/>
  <c r="J50" i="19"/>
  <c r="AB40" i="19"/>
  <c r="J40" i="19"/>
  <c r="J10" i="19"/>
  <c r="P30" i="19"/>
  <c r="V50" i="19"/>
  <c r="P50" i="19"/>
  <c r="AB10" i="19"/>
  <c r="AH30" i="19"/>
  <c r="AH40" i="19"/>
  <c r="P17" i="19"/>
  <c r="AH47" i="19"/>
  <c r="V47" i="19"/>
  <c r="V17" i="19"/>
  <c r="P7" i="19"/>
  <c r="J47" i="19"/>
  <c r="V27" i="19"/>
  <c r="P37" i="19"/>
  <c r="AB17" i="19"/>
  <c r="AB7" i="19"/>
  <c r="AH7" i="19"/>
  <c r="P47" i="19"/>
  <c r="J7" i="19"/>
  <c r="AH17" i="19"/>
  <c r="AB47" i="19"/>
  <c r="V7" i="19"/>
  <c r="AB27" i="19"/>
  <c r="V37" i="19"/>
  <c r="J17" i="19"/>
  <c r="J37" i="19"/>
  <c r="AH27" i="19"/>
  <c r="AB37" i="19"/>
  <c r="J27" i="19"/>
  <c r="AH37" i="19"/>
  <c r="P27" i="19"/>
  <c r="AH48" i="19"/>
  <c r="AB38" i="19"/>
  <c r="AH8" i="19"/>
  <c r="J48" i="19"/>
  <c r="AB18" i="19"/>
  <c r="AH18" i="19"/>
  <c r="V28" i="19"/>
  <c r="P18" i="19"/>
  <c r="AB8" i="19"/>
  <c r="J8" i="19"/>
  <c r="P28" i="19"/>
  <c r="V8" i="19"/>
  <c r="AB28" i="19"/>
  <c r="V48" i="19"/>
  <c r="V18" i="19"/>
  <c r="P38" i="19"/>
  <c r="AB48" i="19"/>
  <c r="J28" i="19"/>
  <c r="V38" i="19"/>
  <c r="P8" i="19"/>
  <c r="J18" i="19"/>
  <c r="AH38" i="19"/>
  <c r="J38" i="19"/>
  <c r="AH28" i="19"/>
  <c r="P48" i="19"/>
  <c r="AH34" i="19"/>
  <c r="P34" i="19"/>
  <c r="AB54" i="19"/>
  <c r="J34" i="19"/>
  <c r="AH54" i="19"/>
  <c r="P24" i="19"/>
  <c r="V14" i="19"/>
  <c r="J44" i="19"/>
  <c r="J54" i="19"/>
  <c r="J24" i="19"/>
  <c r="AH44" i="19"/>
  <c r="P44" i="19"/>
  <c r="V54" i="19"/>
  <c r="J14" i="19"/>
  <c r="AH24" i="19"/>
  <c r="V34" i="19"/>
  <c r="AB44" i="19"/>
  <c r="AB34" i="19"/>
  <c r="P14" i="19"/>
  <c r="P54" i="19"/>
  <c r="V24" i="19"/>
  <c r="AH14" i="19"/>
  <c r="AB24" i="19"/>
  <c r="AB14" i="19"/>
  <c r="V44" i="19"/>
  <c r="P29" i="19"/>
  <c r="J9" i="19"/>
  <c r="AB49" i="19"/>
  <c r="AB29" i="19"/>
  <c r="P49" i="19"/>
  <c r="AH29" i="19"/>
  <c r="J39" i="19"/>
  <c r="J49" i="19"/>
  <c r="V29" i="19"/>
  <c r="AB39" i="19"/>
  <c r="P19" i="19"/>
  <c r="AH49" i="19"/>
  <c r="V49" i="19"/>
  <c r="P39" i="19"/>
  <c r="AH39" i="19"/>
  <c r="P9" i="19"/>
  <c r="V19" i="19"/>
  <c r="AB9" i="19"/>
  <c r="AH19" i="19"/>
  <c r="V39" i="19"/>
  <c r="AB19" i="19"/>
  <c r="V9" i="19"/>
  <c r="AH9" i="19"/>
  <c r="J29" i="19"/>
  <c r="J19" i="19"/>
  <c r="P16" i="19"/>
  <c r="P6" i="19"/>
  <c r="AH6" i="19"/>
  <c r="V46" i="19"/>
  <c r="AH46" i="19"/>
  <c r="AB46" i="19"/>
  <c r="J6" i="19"/>
  <c r="P46" i="19"/>
  <c r="AB26" i="19"/>
  <c r="AB16" i="19"/>
  <c r="AH26" i="19"/>
  <c r="J16" i="19"/>
  <c r="V26" i="19"/>
  <c r="AH36" i="19"/>
  <c r="P26" i="19"/>
  <c r="V16" i="19"/>
  <c r="V36" i="19"/>
  <c r="AH16" i="19"/>
  <c r="V6" i="19"/>
  <c r="AB36" i="19"/>
  <c r="AB6" i="19"/>
  <c r="P36" i="19"/>
  <c r="J36" i="19"/>
  <c r="J26" i="19"/>
  <c r="J46" i="19"/>
  <c r="V25" i="19"/>
  <c r="V45" i="19"/>
  <c r="J15" i="19"/>
  <c r="AB45" i="19"/>
  <c r="AH25" i="19"/>
  <c r="AH55" i="19"/>
  <c r="AB15" i="19"/>
  <c r="P15" i="19"/>
  <c r="P45" i="19"/>
  <c r="V15" i="19"/>
  <c r="J35" i="19"/>
  <c r="AH45" i="19"/>
  <c r="J25" i="19"/>
  <c r="AB35" i="19"/>
  <c r="AH15" i="19"/>
  <c r="V35" i="19"/>
  <c r="J55" i="19"/>
  <c r="AB55" i="19"/>
  <c r="AB25" i="19"/>
  <c r="AH35" i="19"/>
  <c r="P55" i="19"/>
  <c r="J45" i="19"/>
  <c r="P25" i="19"/>
  <c r="P35" i="19"/>
  <c r="V55"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<sst xmlns="http://schemas.openxmlformats.org/spreadsheetml/2006/main" count="1163" uniqueCount="480">
  <si>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</si>
  <si>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</si>
  <si>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</si>
  <si>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</si>
  <si>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</si>
  <si>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</si>
  <si>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</si>
  <si>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</si>
  <si>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</si>
  <si>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</si>
  <si>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</si>
  <si>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</si>
  <si>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</si>
  <si>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</si>
  <si>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</si>
  <si>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</si>
  <si>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</si>
  <si>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</si>
  <si>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</si>
  <si>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</si>
  <si>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</si>
  <si>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</si>
  <si>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</si>
  <si>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</si>
  <si>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</si>
  <si>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</si>
  <si>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</si>
  <si>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</si>
  <si>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</si>
  <si>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</si>
  <si>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</si>
  <si>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</si>
  <si>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</si>
  <si>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</si>
  <si>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</si>
  <si>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</si>
  <si>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</si>
  <si>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</si>
  <si>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</si>
  <si>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</si>
  <si>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</si>
  <si>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</si>
  <si>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</si>
  <si>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Proceso:</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</si>
  <si>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</si>
  <si>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</si>
  <si>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</si>
  <si>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</si>
  <si>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</si>
  <si>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</si>
  <si>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</si>
  <si>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</si>
  <si>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</si>
  <si>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</si>
  <si>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</si>
  <si>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</si>
  <si>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</si>
  <si>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</si>
  <si>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</si>
  <si>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</si>
  <si>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</si>
  <si>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</si>
  <si>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</si>
  <si>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</si>
  <si>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</si>
  <si>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</si>
  <si>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</si>
  <si>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</si>
  <si>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</si>
  <si>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</si>
  <si>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</si>
  <si>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</si>
  <si>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</si>
  <si>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</si>
  <si>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</si>
  <si>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</si>
  <si>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</si>
  <si>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</si>
  <si>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</si>
  <si>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</si>
  <si>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</si>
  <si>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</si>
  <si>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</si>
  <si>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</si>
  <si>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</si>
  <si>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</si>
  <si>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</si>
  <si>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</si>
  <si>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</si>
  <si>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</si>
  <si>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</si>
  <si>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</si>
  <si>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</si>
  <si>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</si>
  <si>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</si>
  <si>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</si>
  <si>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</si>
  <si>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</si>
  <si>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</si>
  <si>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</si>
  <si>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</si>
  <si>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</si>
  <si>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Ejecucion y Administracion de procesos</t>
  </si>
  <si>
    <t>Fraude Externo</t>
  </si>
  <si>
    <t>Fraude Interno</t>
  </si>
  <si>
    <t>Fallas Tecnologicas</t>
  </si>
  <si>
    <t>Relaciones Laborales</t>
  </si>
  <si>
    <t>Usuarios, productos y practicas , organizacionales</t>
  </si>
  <si>
    <t>Daños Activos Fisicos</t>
  </si>
  <si>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</si>
  <si>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</si>
  <si>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</si>
  <si>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</si>
  <si>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</si>
  <si>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</si>
  <si>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</si>
  <si>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</si>
  <si>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</si>
  <si>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</si>
  <si>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</si>
  <si>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</si>
  <si>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</si>
  <si>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</si>
  <si>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</si>
  <si>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</si>
  <si>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</si>
  <si>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</si>
  <si>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</si>
  <si>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</si>
  <si>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</si>
  <si>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</si>
  <si>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</si>
  <si>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</si>
  <si>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</si>
  <si>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</si>
  <si>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t xml:space="preserve"> Matriz de Calor Residual</t>
  </si>
  <si>
    <t>Matriz de Calor Inherente</t>
  </si>
  <si>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</si>
  <si>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</si>
  <si>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</si>
  <si>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</si>
  <si>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</si>
  <si>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</si>
  <si>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</si>
  <si>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</si>
  <si>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</si>
  <si>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</si>
  <si>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</si>
  <si>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</si>
  <si>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</si>
  <si>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</si>
  <si>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</si>
  <si>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</si>
  <si>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</si>
  <si>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</si>
  <si>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</si>
  <si>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</si>
  <si>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</si>
  <si>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</si>
  <si>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</si>
  <si>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</si>
  <si>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</si>
  <si>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</si>
  <si>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</si>
  <si>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</si>
  <si>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</si>
  <si>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</si>
  <si>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</si>
  <si>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</si>
  <si>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</si>
  <si>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</si>
  <si>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</si>
  <si>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</si>
  <si>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</si>
  <si>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</si>
  <si>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</si>
  <si>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</si>
  <si>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</si>
  <si>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</si>
  <si>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</si>
  <si>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</si>
  <si>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</si>
  <si>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</si>
  <si>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</si>
  <si>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</si>
  <si>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</si>
  <si>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</si>
  <si>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</si>
  <si>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GESTIÓN ADMINISTRATIVA</t>
  </si>
  <si>
    <t>Área:</t>
  </si>
  <si>
    <t>TALENTO HUMANO</t>
  </si>
  <si>
    <t>TICS</t>
  </si>
  <si>
    <t>SECRETARÍA GENERAL</t>
  </si>
  <si>
    <t>MANTENIMIENTO</t>
  </si>
  <si>
    <t>GESTIÓN DOCUMENTAL</t>
  </si>
  <si>
    <t>ALMACÉN</t>
  </si>
  <si>
    <t>PLANEACIÓN</t>
  </si>
  <si>
    <t>DIRECCIONAMIENTO ESTRATÉGICO</t>
  </si>
  <si>
    <t>CULTURA VIAL</t>
  </si>
  <si>
    <t>CONTROL VIAL</t>
  </si>
  <si>
    <t>CDA</t>
  </si>
  <si>
    <t>GESTIÓN DE AUDITORÍA</t>
  </si>
  <si>
    <t>OFICINA DE CONTROL INTERNO Y GESTION</t>
  </si>
  <si>
    <t>GESTIÓN DE LA INFORMACION TICS</t>
  </si>
  <si>
    <t>PRENSA</t>
  </si>
  <si>
    <t>GESTIÓN FINANCIERA</t>
  </si>
  <si>
    <t>FINANCIERA</t>
  </si>
  <si>
    <t>GESTION JURIDICA</t>
  </si>
  <si>
    <t>ASESOR JURÍDICA</t>
  </si>
  <si>
    <t>JEFE JURÌDICA</t>
  </si>
  <si>
    <t>CONTRATACIÓN</t>
  </si>
  <si>
    <t>INSTITUCIONAL</t>
  </si>
  <si>
    <t>ALTA DIRECCIÓN</t>
  </si>
  <si>
    <t>PLANEAMIENTO VIAL</t>
  </si>
  <si>
    <t>REGISTRO DE LA INFORMACION</t>
  </si>
  <si>
    <t>LICENCIAS</t>
  </si>
  <si>
    <t>SERVICIO AL CLIENTE</t>
  </si>
  <si>
    <t>SISTEMAS INTEGRADOS DE GESTION</t>
  </si>
  <si>
    <t>CALIDAD</t>
  </si>
  <si>
    <t>Posibilidad de incumplir con el plan de trabajo por la carencia de los recursos requeridos o seguimiento al plan de trabajo.</t>
  </si>
  <si>
    <t>Error de digitación por parte del funcionario.</t>
  </si>
  <si>
    <t>Falta de concentración por parte del funcionario.
Variedad de actividades a realizar en el mismo momento.</t>
  </si>
  <si>
    <t xml:space="preserve">Ausencia de recursos destinados al área de mantenimiento.
</t>
  </si>
  <si>
    <t>Posibilidad de incumplir con todas las solicitudes de mantenimiento locativo por la falta de recursos y personal asignado para dicha actividad.</t>
  </si>
  <si>
    <t xml:space="preserve">*Personal Interdisciplinario insuficiente. 
* Insuficiencia de recursos tecnológicos. 
* Falta de planeación en las actividades.
* Desconocimiento de la norma.
* Dificultad de acceso a la información.
* Falta de capacitación por parte de la Entidad en los temas relacionados con Control Interno.    </t>
  </si>
  <si>
    <t>Debilitamiento del Sistema de Control Interno.</t>
  </si>
  <si>
    <t>No se cuenta con la seguridad adecuada para e resguardo de cintas holográficas y sustratos.</t>
  </si>
  <si>
    <t>Actividades ilícitas por parte de los clientes externos para obtener dichos insumos sin autorización.</t>
  </si>
  <si>
    <t>Posibilidad de perder voluntaria e involuntariamente las cintas holográficas y sustratos para la impresión de licencias de conducción por falta de seguridad para el resguardo de las mismas.</t>
  </si>
  <si>
    <t xml:space="preserve">Ausencia de seguridad y videovigilancia por parte de la DTB.
</t>
  </si>
  <si>
    <t>Ausencia de inventario total de los vehículos inmovilizados.
Cambio anual de empresas de vigilancia.</t>
  </si>
  <si>
    <t>Posibilidad de sustraer vehículos inmovilizados en los patios de la DTB por falta de seguridad y videovigilancia.</t>
  </si>
  <si>
    <t>Ausencia de personal con habilidades adecuadas para cubrir la novedad presentada.</t>
  </si>
  <si>
    <t>Posibilidad de no reportar las novedades en la prestación de las órdenes de servicios por ausencia de personal con habilidades adecuadas para cubrir el mismo.</t>
  </si>
  <si>
    <t>Falta de recurso humano asignado para recibir y coordinar las audiencias programadas al personal de tránsito, evitando el cruce de audiencias.</t>
  </si>
  <si>
    <t>Posibilidad de incumplir con la audiencia programada por las inspecciones de tránsito debido a la falta de personal en turno cruzado para la asistencia del mismo.</t>
  </si>
  <si>
    <t>Errores humanos al momento de emitir manualmente los RP o CDP de la siguiente vigencia.</t>
  </si>
  <si>
    <t>Probabilidad de generar errores en los saldos presupuestales disponibles, para emitir los documentos requeridos ya que hay limitaciones en el sistema XENCO para dividir cada vigencia y así evitar errores humanos al momento de emitir manualmente los RP o CDP de la siguiente vigencia.</t>
  </si>
  <si>
    <t>Incumplimiento en la planeación del PAC de la vigencia.</t>
  </si>
  <si>
    <t>Falta de aplicación de las TRD</t>
  </si>
  <si>
    <t>Falta de apropiación de los funcionarios y/o colaboradores en los temas de Gestión documental</t>
  </si>
  <si>
    <t>Posibilidad de tener alto volumen de documentos sin organizar por falta de aplicación de las TRD a raíz de la falta de apropiación de los funcionarios y/o colabores en los temas de Gestión documental</t>
  </si>
  <si>
    <t>Posibilidad de presentar pérdida de la integridad de la información física (deterioro) de los documentos que reposan en el archivo central por un insuficiente desarrollo de las actividades descritas en el Sistema Integrado de Conservación documental (SIC) de la DTB a raíz de falta de recursos financieros asignados que garantizan el cumplimiento de este programa.</t>
  </si>
  <si>
    <t>Insuficiente desarrollo de las actividades descritas en el Sistema Integrado de Conservación Documental (SIC) de la DTB</t>
  </si>
  <si>
    <t>Falta de recursos financieros asignados que garantizan el cumplimiento de este programa</t>
  </si>
  <si>
    <t>Posibilidad de presentar pérdida de documentos físicos en  oficinas gestoras y en el archivo central por falta de mecanismos de seguridad que permitan salvaguardar la información física, y poco espacio físico para la ubicación de los archivos a raíz de falta de recursos financieros suficientes para el programa de gestión documental de la entidad</t>
  </si>
  <si>
    <t>Falta de mecanismos de seguridad que permitan salvaguardar la información física.
Falta de espacio para el procesamiento y almacenamiento de los archivos físicos.</t>
  </si>
  <si>
    <t xml:space="preserve">Manejo inescrupuloso del personal que tiene acceso directo al dinero que se recauda diariamente.
</t>
  </si>
  <si>
    <t>Ausencia de competencias de formación por parte de los inspectores y directores técnicos.
Falencias en el mantenimiento y calibración de los equipos de inspección mecanizadas.</t>
  </si>
  <si>
    <t xml:space="preserve">Posibilidad de perder la acreditación como organismo de inspección, por el desconocimiento normativo por parte del jefe de la oficina asesora CDA, ausencia de competencias de formación de inspectores y el no aseguramiento de los recursos para el mantenimiento y calibración de equipos. 
</t>
  </si>
  <si>
    <t>Posibilidad de publicar información errónea en las redes sociales de la Dirección de Tránsito de Bucaramanga, por acceso no autorizado a las cuentas institucionales y/o ausencia del antivirus en los equipos utilizados para el manejo de redes sociales, generando incongruencias y riesgo de pérdida de información</t>
  </si>
  <si>
    <t>Acceso, publicación y/o modificación no autorizada a las cuentas de la Dirección de Tránsito de Bucaramanga en las redes sociales.</t>
  </si>
  <si>
    <t>Ausencia del antivirus o falta de renovación del mismo en los equipos desde los 
cuales se manejan las redes sociales</t>
  </si>
  <si>
    <t>Posibilidad de incumplir en la publicación de los informes de rendición de cuentas a los entes de control por el incumplimiento en la entrega de los informes por las dependencias responsable y el desconocimiento del uso de las plataformas.</t>
  </si>
  <si>
    <t>Incumplimiento en la entrega de los informes por las dependencias responsables 
Desconocimiento en el manejo de las plataformas por parte del responsable</t>
  </si>
  <si>
    <t xml:space="preserve">Demoras en la consolidación de la información por las dependencias </t>
  </si>
  <si>
    <t>Posibilidad de ejecutar de forma errada la liquidación de los derechos de licencias de conducción, por la alta rotación de personal para el cumplimento de dichas actividades y la falta de retroalimentación del proceso al personal antiguo, generando de esta forma reprocesos y demoras en la atención.</t>
  </si>
  <si>
    <t>Ausencia de concentración al momento de liquidar los derechos de acuerdo con la solicitud del usuario.
Falta de retroalimentación del proceso al personal antiguo.</t>
  </si>
  <si>
    <t>Alta rotación de personal para el cumplimento de dichas actividades.</t>
  </si>
  <si>
    <t>Ausencia de recursos para dar cumplimiento al Plan de Desarrollo Municipal. 
Falta de personal y/o recurso humano necesario para dar cumplimiento a las actividades asignadas en el Plan de Desarrollo</t>
  </si>
  <si>
    <t xml:space="preserve">Posibilidad de Incumplir con las metas propuestas en el Plan de Desarrollo por la falta de recursos y/o gestión en el recaudo de actividades propias del mismo.           </t>
  </si>
  <si>
    <t>Fallas técnicas en el sistema de semaforización en el municipio.</t>
  </si>
  <si>
    <t>Fallas en el suministro de energía eléctrica para el servicio de red semafórica.</t>
  </si>
  <si>
    <t>Falta de recursos para poder efectuar la contratación del recurso humano y/o materiales, elementos y accesorios para el debido mantenimiento preventivo a la señalización vial del Municipio de Bucaramanga</t>
  </si>
  <si>
    <t>Falta de planeación de la Oficina Gestora en la programación y/o gestión del mantenimiento a la señalización existente del Municipio de Bucaramanga</t>
  </si>
  <si>
    <t>Posibilidad de presentar deterioro o falta de señalización en el municipio de Bucaramanga por la ausencia de Recursos presupuestales que permita garantizar la disponibilidad del recurso humano y materiales necesarias para el cumplimiento de la programación preventiva a la señalización existente del Municipio de Bucaramanga.</t>
  </si>
  <si>
    <t xml:space="preserve">Falta de compromiso por parte de los funcionarios encargados en dar respuesta oportuna a dicha peticiones.
</t>
  </si>
  <si>
    <t xml:space="preserve">El líder de la oficina de Atención al cliente solicita al área pertinente, por medio de circulares informativas, dar respuesta oportuna a las PQRS próximas a vencer.
</t>
  </si>
  <si>
    <t xml:space="preserve">Realizar una socialización cuatrimestral a todos los responsable de dar respuesta a cada solicitud, sobre la importancia del cumplimiento de los indicadores de las PQRS para la DTB. </t>
  </si>
  <si>
    <t>Agotamiento físico por parte de los funcionarios y/o asesores que cumplen con el proceso de atención al usuario.</t>
  </si>
  <si>
    <t>Ausencia de personal con la actitud adecuada para cumplir con las actividades de atención al usuario.</t>
  </si>
  <si>
    <t>Realizar una capacitación cuatrimestral a los funcionarios de la DTB que tienen contacto directo con los usuarios en atención al cliente.</t>
  </si>
  <si>
    <t>Posibilidad de generar pérdida económica por la negación del reconocimiento de las incapacidades debido al incumplimiento de los requisitos exigidos por la EPS.</t>
  </si>
  <si>
    <t>La actividad que conlleva el riesgo se ejecuta mínimo 501 veces al año y máximo 5000 veces por año</t>
  </si>
  <si>
    <t>La actividad que conlleva el riesgo se ejecuta de 25 a 500 veces por año</t>
  </si>
  <si>
    <t>La actividad que conlleva el riesgo se ejecuta más de 5001 veces por año</t>
  </si>
  <si>
    <t>El asesor de talento humano, mensualmente verifica que todas las incapacidades reportadas por las dependencias se radiquen en la EPS correspondiente.</t>
  </si>
  <si>
    <t>El asesor de talento humano, mensualmente verifica en cada EPS el estado del reconocimiento y pago de las incapacidades.</t>
  </si>
  <si>
    <t>El asesor de talento humano cada vez que se requiera, revisa la comunicación de no pago de incapacidad por parte de la EPS con el fin de proyectar oficio al servidor o exservidor, informando las razones de la devolución y el valor a reintegrar.</t>
  </si>
  <si>
    <t>El Asesor a cargo, mensualmente conciliará los pagos efectuados por concepto de incapacidades que son remitidos por Grupo de Gestión Financiera, contra el registro de incapacidades del Grupo de Gestión Humana.</t>
  </si>
  <si>
    <t>Implementar procedimiento de Lineamientos para tramite de incapacidades</t>
  </si>
  <si>
    <t>Asesor de Talento Humano</t>
  </si>
  <si>
    <t>Posibilidad de generar pérdida económica y reputacional por queja, reclamo, tutela o demanda del usuario o ente regulador debido  a inconsistencias en la emisión de la certificación electrónica de tiempos laborados (CETIL).</t>
  </si>
  <si>
    <t>Ilegibilidad de información en las nóminas o inexistencia de soportes documentales para la expedición de certificación electrónica de tiempos laborados (CETIL)</t>
  </si>
  <si>
    <t>Inconsistencias en la información registrada en certificación electrónica de tiempos laborados (CETIL)</t>
  </si>
  <si>
    <r>
      <rPr>
        <sz val="11"/>
        <color theme="1"/>
        <rFont val="Arial Narrow"/>
        <family val="2"/>
      </rPr>
      <t>Posibilidad de Omitir el Plan Anual Mensualizado de caja en el análisis presupuestal de la vigencia, por el aumento de los traslados presupuestales y /o demoras en los pagos de las obligaciones contraídas.</t>
    </r>
    <r>
      <rPr>
        <sz val="11"/>
        <color rgb="FFFF0000"/>
        <rFont val="Arial Narrow"/>
        <family val="2"/>
      </rPr>
      <t xml:space="preserve">
</t>
    </r>
  </si>
  <si>
    <t>Pérdida de contacto o información del usuario infractor.
Falta de información en la elaboración de los comparendos.</t>
  </si>
  <si>
    <t>Cumplimiento al fallo judicial de eliminación de derechos de placa.
Situación socio-económica del infractor al momento de ejecutar los cobros coactivo.</t>
  </si>
  <si>
    <t xml:space="preserve">Posibilidad de generar disminución de ingresos obligatorios por los infractores a la DTB, por pérdida de contacto, falta de información en la elaboración de los comparendos y/o situación socio-económica del infractor.
</t>
  </si>
  <si>
    <t>El asesor de Talento Humano valida que la información esté completa y correctamente transcrita en los datos de la Certificación Electrónica de Tiempos Laborados.</t>
  </si>
  <si>
    <t>Implementar el "Protocolo de Búsqueda de Información para Emisión de Formulario Único Electrónico de Certificación de Tiempos Laborados" actualizado con destino al reconocimiento de prestaciones pensionales y para el financiamiento de las mismas.</t>
  </si>
  <si>
    <t>Acceso a historias laborales sin autorización debidamente concedida o sin control de información entregada.</t>
  </si>
  <si>
    <t>Posibilidad de generar pérdida reputacional por acceso no autorizado a la información confidencial de la Historia Laboral  o datos reservados del funcionario público, debido a la inadecuada  gestión acceso a los sistemas de información.</t>
  </si>
  <si>
    <t>Realizar el procedimiento para gestión de historias laborales.</t>
  </si>
  <si>
    <t>Posibilidad de incumplir con las capacitaciones programadas dentro de las guías de promotores de cultura vial, por falta de personal asignado para cumplir dichas actividades y/o de la movilidad asignada para el traslado de los elementos pedagógicos y de logística.</t>
  </si>
  <si>
    <t>Ausencia de talento humano de planta para cumplir con las capacitaciones.</t>
  </si>
  <si>
    <t>Falta de transporte para la movilidad del material pedagógico y de logística.</t>
  </si>
  <si>
    <t>Ausencia del talento humano que debe poseer certificado como instructor en conducción, acreditar experiencia mínima de dos (2) años como docente, instructor de conducción o ser técnico profesional en seguridad vial, acreditando el título a través de entidad docente autorizada por el Ministerio de Educación.</t>
  </si>
  <si>
    <t>La líder del proceso realiza una planeación semanal de todas las capacitaciones pendiente para realizar.</t>
  </si>
  <si>
    <t xml:space="preserve">El líder del proceso solicitará si es requerido, apoyo al comandante del grupo de control vial para suplir la ausencia de algún personal asignado para cumplir con las capacitaciones.
</t>
  </si>
  <si>
    <t>Especializado de cultura vial</t>
  </si>
  <si>
    <t>Posibilidad de incumplir con las capacitaciones a infractores de las normas de tránsito, programadas en el CIA por falta de la acreditación según la Resolución 11355 del 21 agosto de 2020, por ausencia de talento humano certificado y/o incumplimiento en la acreditación por la ONAC.</t>
  </si>
  <si>
    <t>Incumplimiento en la entrega de las incapacidades por parte de Talento Humano.</t>
  </si>
  <si>
    <t>SEGURIDAD Y SALUD EN EL TRABAJO</t>
  </si>
  <si>
    <t>No cobro de las incapacidades de accidentes o enfermedad laboral a la ARL.</t>
  </si>
  <si>
    <t>Falta de seguimiento y control al Plan de trabajo del sistema de gestión de seguridad y salud en el trabajo.</t>
  </si>
  <si>
    <t>Carencia de recursos económicos, técnicos y de talento humano requeridos para cumplir con el Plan de trabajo.</t>
  </si>
  <si>
    <t xml:space="preserve">Posibilidad de incumplir en las obligaciones y tipos de vigilancia, por parte de los funcionarios designados como supervisores, que pueden conllevar a irregularidades, incumplimientos, hallazgos, sanciones disciplinarias y penales. </t>
  </si>
  <si>
    <t>*Malas prácticas y/o costumbres en la trazabilidad de las evidencias que reposan expedientes contractuales.
* Desinterés en asistir a las capacitaciones del manejo del Sistema Electrónico de Contratación SECOP II.</t>
  </si>
  <si>
    <t>Posibilidad de impedir la publicación de los procesos en la plataforma del Sistema Electrónico de Contratación SECOP II, por las altas concurrencias en la misma, dificultando publicar procesos contractuales transaccionalmente, generando reprocesos en los trámites documentales internos y de aprobaciones.</t>
  </si>
  <si>
    <t xml:space="preserve">Aumento de Usurarios trabajando al mismo tiempo en procesos contractuales en la plataforma, colapsando el funcionamiento del servidor.
</t>
  </si>
  <si>
    <t>El Asesor de calidad anualmente realiza inducción y/o reinducción de los sistemas de gestión a los colaboradores de la Entidad</t>
  </si>
  <si>
    <t>El asesor de calidad anualmente audita los procesos de la Entidad.</t>
  </si>
  <si>
    <t>Los líderes los procesos establecen planes de mejoramiento cuando se detecten no conformidades u oportunidades de mejora.</t>
  </si>
  <si>
    <t>El Asesor de calidad realiza seguimiento mensual al reporte de los indicadores de gestión que realizan desde cada uno de los procesos de la Entidad</t>
  </si>
  <si>
    <t>Ausencia de personal idóneo suficiente para atender los procesos requeridos.</t>
  </si>
  <si>
    <t>Exceso de procesos pendientes por cumplir en los que hace parte la entidad.</t>
  </si>
  <si>
    <t>El jefe de almacén e inventarios revisa contra la factura el ingreso de los bienes, y cuando sale revisa el de egreso de acuerdo a la solicitud.</t>
  </si>
  <si>
    <t>*Inadecuado ejercicio en la supervisión de contratos y exigencia del cumplimiento a los contratistas
*Falta de compromiso y sentido de pertenencia con la entidad.</t>
  </si>
  <si>
    <t>La Asesora grado 02 modifica las contraseñas de las redes sociales cada mes, como medida de prevención.</t>
  </si>
  <si>
    <t>Limitación del sistema XENCO para dividir cada vigencia.
Ausencia de recursos disponibles para dar tratamiento al sistema XENCO.</t>
  </si>
  <si>
    <t>El contratista encargado junto a la tesorera, realizan reuniones semestrales para determinar los traslados presupuestales y establecer con cuanto capital cuenta la entidad para el siguiente semestre.</t>
  </si>
  <si>
    <t>La secretaria de la oficina lleva un control de todas las citaciones y/o requerimientos de los juzgados o la fiscalía.</t>
  </si>
  <si>
    <t>La funcionaria encargada lleva un registro escrito de las jornadas de limpieza, fumigaciones y mantenimiento que se realizan en el archivo central.</t>
  </si>
  <si>
    <t xml:space="preserve">La funcionaria encargada realiza capacitación a todo el personal de la DTB cada semestre, sobre buenas prácticas de manipulación documental </t>
  </si>
  <si>
    <t xml:space="preserve">La funcionaria encargada de la gestión documental lleva una planilla para el registro de los préstamos y consultas,  controlando lo que entra y sale de la oficina.
</t>
  </si>
  <si>
    <t xml:space="preserve">La funcionaria encargada de la gestión actualiza y verifica cada mes el inventario de la documentación registrada en el archivo central.
</t>
  </si>
  <si>
    <t>El comandante encargado asigna el personal de acuerdo a las necesidades solicitadas en términos de ausencia.</t>
  </si>
  <si>
    <t xml:space="preserve">El comandante o el agente citado, solicita reasignación de las audiencias por el horario cruzado. </t>
  </si>
  <si>
    <t>* Ausencia de modernización a las UPS de la entidad.
* Ausencia de recursos rápidos para solicitar mínimos gastos y cerrar solicitudes de mantenimiento preventivo.
* Falta de personal asignado para el cumplimiento de los requerimientos.</t>
  </si>
  <si>
    <t>* Actualizar según se requiera el PETI.
* Implementar Directrices de accesibilidad web - Anexo 1, 2, 3 y 4 Resolución 1519 de 2020 MINTIC.</t>
  </si>
  <si>
    <t>Oficina Asesora Sistemas</t>
  </si>
  <si>
    <t xml:space="preserve">El jefe de sistemas gestiona el contrato de mantenimiento de las UPS.
</t>
  </si>
  <si>
    <t>El jefe de sistemas actualiza el plan anual de mantenimientos preventivos y correctivos.</t>
  </si>
  <si>
    <t>* Ausencia de lineamientos internos  para direccionamiento  de los informes.
* Falta de socialización de fechas de entrega de informes.</t>
  </si>
  <si>
    <t xml:space="preserve">*Insuficiencia  de  recursos  tecnológicos.
* Falta de trazabilidad al estado de trámite de respuesta a las PQRSD.
* No asignación de personal competentes para la solución y/o respuestas de las PQRSD.         </t>
  </si>
  <si>
    <t>Posibilidad de incumplir con las normas legales vigentes en las respuestas extemporáneas a las PQRSD presentadas por la Ciudadanía y Entes externos.</t>
  </si>
  <si>
    <t>* Falta de seguimiento y control a los abogados externos por parte de la oficina jurídica, que llevan los procesos de las demandas.</t>
  </si>
  <si>
    <t>*Ausencia de Abogados de planta capacitados para dar respuesta a dichos trámites.</t>
  </si>
  <si>
    <t>La abogada contratista encargada lleva el control del cuadro de litigios.</t>
  </si>
  <si>
    <t>Posibilidad de vencer involuntariamente los términos en el trámite procesal de las demandas en contra de la DTB, por ausencia de abogados de planta capacitados y/o seguimiento a los abogados externos que llevan los procesos de las demandas.</t>
  </si>
  <si>
    <t>Incumplimiento en los tiempos estipulados por parte de las áreas encargadas.</t>
  </si>
  <si>
    <t xml:space="preserve">Falta de gestión por parte del asesor jurídico para el reparto adecuado y tiempo estipulado al área correspondiente para dar respuesta.
</t>
  </si>
  <si>
    <t>Posibilidad de vencer los términos en el trámite de las tutelas, por incumplimientos en los términos establecidos.</t>
  </si>
  <si>
    <t>* Corrupción, intereses personales
* Pérdida o descuido</t>
  </si>
  <si>
    <t>Sistema de control de inventario de licencias</t>
  </si>
  <si>
    <t>Pérdida de licencias o entrega de licencias sin el cumplimiento del tiempo y requisitos legales</t>
  </si>
  <si>
    <t>* Tablero de control.
* Seguimiento a la ejecución del programa de Auditorías con el equipo interdisciplinario de la OCI.</t>
  </si>
  <si>
    <t>Realizar 3 mesas de trabajo durante la vigencia 2022, con el fin de conocer el avance de cumplimiento al Programa Anual de Auditoría y tomar las medidas necesarias para llegar a su cabal cumplimiento.</t>
  </si>
  <si>
    <t>Jefe Oficina de Control Interno y Gestión</t>
  </si>
  <si>
    <t>Mayo</t>
  </si>
  <si>
    <t>Formulación incorrecta por parte de las oficinas gestoras de las acciones a ejecutar.</t>
  </si>
  <si>
    <t xml:space="preserve">Falta de compromiso por parte de las oficinas gestoras para dar respuesta a las actividades ejecutadas en el plan de acción institucional.
</t>
  </si>
  <si>
    <t xml:space="preserve">La Ing. encargada del área de planeación realiza Mesas de trabajo individuales con todas las áreas, formulando las acciones correspondientes al plan de acción. </t>
  </si>
  <si>
    <t>Radicación de incapacidades sin el cumplimiento de los requisitos exigidos por la EPS.</t>
  </si>
  <si>
    <t>Ejecución y Administración de procesos</t>
  </si>
  <si>
    <t>Perdida o acceso de información confidencial de la hoja de vida del funcionario público</t>
  </si>
  <si>
    <t>El Asesor de Talento Humano determina si legalmente el funcionario que solicita la hoja de vida puede acceder a esta información. 
Si se determina que el funcionario puede acceder a esta información, la Oficina de Talento Humano controla el préstamo de historias laborales mediante el formato "registro préstamo de documentos- código FT-GADM-025"</t>
  </si>
  <si>
    <t>Falta de conocimiento por parte del personal, en los nuevos requerimientos solicitados por el Gobierno digital MINTIC.</t>
  </si>
  <si>
    <t>Falta de recursos y/o personal asignados en la revisión de lineamientos exigido por MINTIC, para la implementación de Gobierno Digital.</t>
  </si>
  <si>
    <t>Posibilidad de incumplir con la implementación de Gobierno Digital MINTC, por falta de recursos y/o personal asignados en la revisión de lineamientos exigido por MINTIC, y desconocimientos en los nuevos requerimientos.</t>
  </si>
  <si>
    <t>Fallas Tecnológicas</t>
  </si>
  <si>
    <t>El jefe de oficina de sistemas realiza seguimiento a los requerimientos solicitados por la alcaldía, a medida que se van solicitando.</t>
  </si>
  <si>
    <t>Posibilidad de generar un daño fiscal por el no cobro de incapacidades a la ARL y/o incumplimiento en la entrega de las mismas por parte de talento humano.</t>
  </si>
  <si>
    <t>Ausencia de personal para suplir con todas las solicitudes generadas por parte de la entidad en general.</t>
  </si>
  <si>
    <t>Daños Activos Físicos</t>
  </si>
  <si>
    <t>La funcionaria encargada distribuye de manera equitativa a su equipo de trabajo CPS, de manera que apoyen a las diferentes oficinas en la organización documental.</t>
  </si>
  <si>
    <t>Posibilidad de digitar erróneamente un ingreso o egreso al software de bienes de consumo y devolutivos por parte del funcionario encargado de dicha labor.</t>
  </si>
  <si>
    <t>El auxiliar administrativo revisa dos veces antes de guardar el bien devolutivo de consumo en el software, verificando el nombre, la descripción y cantidades.</t>
  </si>
  <si>
    <t>Posibilidad de incumplir con las metas programadas en el Plan de Acción institucional, por la falta de compromiso por parte de las áreas que conforman la dirección de tránsito de Bucaramanga.</t>
  </si>
  <si>
    <t xml:space="preserve">Incumplimiento en la acreditación por el Organismo Nacional de Acreditación de Colombia - ONAC, bajo la norma ISO/IEC 17065 o la que la modifique, adicione o sustituya. </t>
  </si>
  <si>
    <t>El líder del proceso solicita mediante un oficio al área de Talento humano, verificar las hojas de vida de todo el personal quienes cumplen con el requisito generado por la ONAC, bajo la norma ISO/IEC 17065 o la que la modifique, adicione o sustituya.
Actualmente se cuenta con un instructor técnico profesional en seguridad vial con certificados vigentes.</t>
  </si>
  <si>
    <t>Si la respuesta de Talento Humano es negativa, se debe contratar de inmediato un instructor que cumpla con las competencias que exige la nueva norma.</t>
  </si>
  <si>
    <t>Carencia de recursos económicos establecidos para contratar personal con habilidades para cubrir las novedades.</t>
  </si>
  <si>
    <t>Incumplimiento en la audiencia citada por turno cruzado.</t>
  </si>
  <si>
    <t xml:space="preserve">Ubicación de la caja diaria en la oficina de trabajo.
Ausencia del material adecuado para la protección del dinero.
Falta de concentración del equipo de trabajo al momento de registrar los vehículos que se inspeccionan. </t>
  </si>
  <si>
    <t>Posibilidad de extraviar el dinero correspondiente al servicio de revisión técnico mecánica facturado a los usuarios del centro diagnóstico automotor, por mal registro de los vehículos, por descuido de la caja diaria y/o por manejo inescrupuloso del personal de tiene acceso directo a estos ingresos.</t>
  </si>
  <si>
    <t>Generar una inspección errónea voluntaria o involuntariamente, que quede registrada en el Sistema de control y vigilancia (SICOV), causando una investigación por parte de la superintendencia de transporte.</t>
  </si>
  <si>
    <t>Posibilidad de incumplir con el programa Anual de Auditoría de la oficina de control interno y gestión por personal interdisciplinario insuficiente, falta de planeación en las actividades, desconocimiento de la norma, entre otros.</t>
  </si>
  <si>
    <t>Falta de mantenimiento tecnológica en la entidad de la DTB.</t>
  </si>
  <si>
    <t xml:space="preserve">Posibilidad de interrumpir con los procesos asignados al área de sistemas por fallas tecnológicas de la entidad.
</t>
  </si>
  <si>
    <t>*Gestionar frente a los entes territoriales y nacionales la consecución de recursos para el cableado estructurado de la entidad. ( Actas de reuniones, correos electrónicos )
* Revisar modernización de las UPS de la entidad para incluirla en el presupuesto para el 2023. ( cotizaciones )</t>
  </si>
  <si>
    <t>Falta de personal idóneo para asesorar frente a requerimientos de reportes y/o informes de los entes de control.</t>
  </si>
  <si>
    <t>Posibilidad de presentar reportes y/o informes a entes de control Extemporáneos, por la falta de personal idóneo para asesorar los nuevos requerimientos y falta de socialización de fechas para la entrega del mismo.</t>
  </si>
  <si>
    <t>Falta de personal idóneo del derecho y normatividad legal vigente para soluciones y/o respuestas a PQRSD.</t>
  </si>
  <si>
    <t xml:space="preserve">El contratista asignado se reúne con el contador y el encargado de la elaboración de los CDP Y RP ( el tiempo que no tiene contrato el proveedor ), para organizar y evitar errores al momento de suministrar la información al sistema XENCO mientras éste es contratado.
</t>
  </si>
  <si>
    <t xml:space="preserve">Aumento de los traslados presupuestales en la vigencia.
Demoras en los pagos de las obligaciones contraídas por omitir el PAC.
</t>
  </si>
  <si>
    <t>El asesor jurídico encargado lleva Control del Libro radicado, un Excel denominado cuadro control de tutelas año vigente y un archivo evidenciando a que área se remite la información.</t>
  </si>
  <si>
    <t>El asesor jurídico encargado lleva Control del Cuadro de inventarios de licencias  y un libro radicado para evitar pérdida de licencias.</t>
  </si>
  <si>
    <t>Altas Operaciones en la plataforma del Sistema Electrónico de contratación SECOP II.
Equipos de cómputo sin mantenimiento.</t>
  </si>
  <si>
    <t>Posibilidad de presentar extemporáneamente o no las garantías, en la etapa de ejecución, por la falta de compromiso y /o seguimiento de los contratistas y supervisores.</t>
  </si>
  <si>
    <t>Falta de planeación por parte de la oficina gestora y/o demás Oficinas competentes para el cumplimiento del Plan de Desarrollo.                                         
Ausencia de aprobación y/o gestión en la ejecución de las actividades necesarias para el plan de desarrollo por parte de Entidades y/o secretarias del orden municipal de Bucaramanga.</t>
  </si>
  <si>
    <t xml:space="preserve">Posibilidad de presentar caída del servicio de la red semafórica por falta de programación de mantenimiento preventivo y/o correctivo en el sistema general de semaforización. </t>
  </si>
  <si>
    <t>Sobre carga laboral en los funcionarios de planta, por demoras en la contracción de personal CPS.</t>
  </si>
  <si>
    <t>Posibilidad de generar inconformidad por parte de los usuarios, entes de control, administrativos y judiciales, por la respuesta inoportuna de las áreas pertinentes de la DTB y/o  sobre carga laboral en los funcionarios de planta, por demoras en la contracción de personal CPS.</t>
  </si>
  <si>
    <t>Líder del Proceso de Atención al Usuario</t>
  </si>
  <si>
    <t>El líder de la oficina de Atención al cliente genera un memorando con copia a control interno disciplinario, al funcionario que no dio respuesta oportuna a la PQRS solicitada.</t>
  </si>
  <si>
    <t>Posibilidad de generar inconformidad al usuario que es atendido directamente por cualquiera de los funcionarios la DTB, por ausencia de personal con la actitud adecuada para cumplir con las actividades y/o agotamiento físico por parte de los mismos.</t>
  </si>
  <si>
    <t>El auxiliar administrativo realiza diariamente la encuentra de satisfacción al cliente aleatoriamente a los usuarios que son atendidos directamente en la DTB.</t>
  </si>
  <si>
    <t>El Asesor de calidad realiza capacitaciones y sensibilizaciones permanentes sobre los aspecto e impactos ambientales</t>
  </si>
  <si>
    <t xml:space="preserve">Recepción de incapacidades por parte de funcionarios no transcritas y que no cuenten con los datos requeridos e información anexa solicitada por es para transcripción.
Incumplimiento con lo establecido en decreto 780 de 2016:
- Cuando el cotizante no hubiere efectuado aportes por un mínimo de cuatro (4) semanas.
- Las incapacidades se originen en tratamientos con fines estéticos o se encuentran excluidos del plan de beneficios y sus complicaciones. </t>
  </si>
  <si>
    <t>Secretaría general realiza supervisión al equipo de vigilancia ACRÓPOLIS, quienes por medio de cámaras monitorean los patios de la entidad DTB.</t>
  </si>
  <si>
    <t xml:space="preserve">*El encargado del área, por medio del plan  de mantenimiento institucional, realiza el seguimiento de los elementos, rubros y materiales asigandos para cumplir con las solicitudes enviadas por las áreas de la DTB.
*El encargado del área hace uso de los rubros de mantenimiento, materiales y suministros para el cumplimiento </t>
  </si>
  <si>
    <t>Incorrecta proyección de la cantidad requerida en insumos y maquinaria.</t>
  </si>
  <si>
    <t>Ausencia de presupúesto para la compra de nuevos equipos e insumos.</t>
  </si>
  <si>
    <t>Posibilidad de generar retrasos en el proceso por culminación de la vida últil de los equipos de licencias de condución y agotamiento de los insumos para la impresión de las licencias.</t>
  </si>
  <si>
    <t xml:space="preserve">El área de licecnias realiza la proyección de los insumos a utilizar en la vigencia y envía sistemas para su aprobación y validación.
</t>
  </si>
  <si>
    <t>Licencias enviará un memorando a dirección general con copia a sistemas y contratación, requiriendo las necesidades para continuar con el proceso, ya que se están agotando las existencias de la vigencia pasada, año 2021.</t>
  </si>
  <si>
    <t>Licencias</t>
  </si>
  <si>
    <t xml:space="preserve">La líder del proceso controla por medio de un registro, los insumos en los formatos FT-RINF-003 Control de cintas y FT-RINF-004.                               
Los  insumos (sustratos y cintas) se guardan en archivador, el cual cuenta con llave y acceso solo al líder del proceso.                                                                                                                 </t>
  </si>
  <si>
    <t>El área de licencias, solicitará a la dirección general por medio de un memorando la instalación de cámaras de seguridad para cubrir la zona donde se encuentran los insumos y monitorear el manejo del mismo.</t>
  </si>
  <si>
    <t xml:space="preserve">La líder de proceso y apoyo, realiza capacitación y retroalimentación al personal adscrito a licencias de conducción, en cuanto al procedimiento que se sigue en la oficina.                                                                       </t>
  </si>
  <si>
    <t>El área de licencias, realizará actualización del procedimiento y será remitido al área de calidad para su revisión y codificación.</t>
  </si>
  <si>
    <t xml:space="preserve">Licencias </t>
  </si>
  <si>
    <t>La persona encargada del proceso solicita de manera verbal al área de talento humano las incapcidades generadas a la fecha.</t>
  </si>
  <si>
    <t>Líder del proceso</t>
  </si>
  <si>
    <t>La persona encargada realiza seguimiento por medio de informes al plan de trabajo para dar cumplimiento oportuno a las actividades asignadas.</t>
  </si>
  <si>
    <t xml:space="preserve">CONTROL INTERNO DISCIPLINARIO </t>
  </si>
  <si>
    <t>Ausencia de material probatorio necesario para adelantar las investigaciones disciplinarias de los servidores publicos de la Dirección de Tránsito de Bucaramanga.</t>
  </si>
  <si>
    <t>Ausencia de personal capacitado para solicitar y entregar las pruebas necesarias.</t>
  </si>
  <si>
    <t>Posibilidad de generar reprocesos en el área por el incumplimiento en los tiempos de la entrega de pruebas para las diferentes etapas procesales.</t>
  </si>
  <si>
    <t>La auxiliar administrativa lleva una base de datos de control de procesos y quejas disciplinarias donde se registran las diferentes actuaciones, para cada etapa procesal de los casos que están en curso. Ese cuadro contiene nombre del quejoso y/o investigado, contra quien va dirigido, fecha de radicado, fecha de los hechos, fecha de inicio de indagación, fecha de archivo, entre otros.</t>
  </si>
  <si>
    <t xml:space="preserve">El líder del proceso realiza control de los ingresos en los cobros persuasivo y coactivo de cartera de la entidad, solicitando a la empresa contratada los informes de gestión donde se evidencia las acciones y/o actividades realizadas mensualmente.
</t>
  </si>
  <si>
    <t>El líder del procesos realizar 2 mesas de trabajo en compañía de los funcionarios y las empresas que presta apoyo en la recuperación de carte de la entidad, con el fin de buscar estrategias para aumentar la recuperación de cartera.</t>
  </si>
  <si>
    <t>Líder del Proceso</t>
  </si>
  <si>
    <t>REGISTRO AUTOMOTOR</t>
  </si>
  <si>
    <t>La funcionaria asiganada realiza las publicaciones en el la plataforma del SECOP II, en ¨hora valle¨ para su mayor fluidez en la ejecución de la actividad.</t>
  </si>
  <si>
    <t xml:space="preserve">*Falta de compromiso por parte de los contratistas.
</t>
  </si>
  <si>
    <t>*Falta de seguimiento a los procesos contractuales por parte del supervisor.</t>
  </si>
  <si>
    <t>La funcionaria y secretaria ejecutiva llevan un control interno de los contratos que requieren garantía y actualización de las mismas.</t>
  </si>
  <si>
    <t>La persona encargada del proceso realizará estandarización por medio de un formato codificado, donde indique número de contrato, nombre del contratista, pólizas requeridas, clase de políza y si es de presentación o actualización, llevando así un mejor control de los contratos que requieren garantías.</t>
  </si>
  <si>
    <t>La Asesora Grado 02 de la Oficina Asesora De Contratación, por medio de circulares y memorandos les recuerda a cada supervisor la importancia del rol que tienen como líderes de procesos contractuales, respecto a la ejecución del contrato, liquidación de los mismos,  la publicación de los informes de los contratistas y supervisión, entre otros, de la misma manera los invita a asistir a las capacitaciones que se realizan mensualmente.</t>
  </si>
  <si>
    <t>El encargado por medio de memorandos solicitará al área de talento humano con tiempo límite, el envío de las incapacidades.</t>
  </si>
  <si>
    <t>La dirección general mediante un acto administrativo, realiza la delegación de los responsables de la DTB para la rendición de cuentas ante la Contraloria  Municipal y se dictan otras dispociciones.</t>
  </si>
  <si>
    <t xml:space="preserve">La alta dirección por medio de memorandos y/o correos electrónicos solicita a cada responsable la presentación del informe antes de las fechas establecidas.
</t>
  </si>
  <si>
    <t>Alta dirección</t>
  </si>
  <si>
    <t xml:space="preserve">*El Grupo técnico de la Oficina de Semaforización del Grupo de Planeamiento Vial de la DTB, adelanta de forma mensual un informe detallado de las diferentes gestiones adelantadas en ese periodo en donde se especifica cada una de las actividades ejecutadas del mantenimiento preventivo y/o correctivo efectuado sobre la red semafórica del municipio de Bucaramanga.                                 
*La Oficina de Semaforización de forma anual adelanta el proceso de contratación directa con la empresa propietaria de la tecnología de la Central de Semaforización del Municipio de Bucaramanga, lo anterior con el fin de dar estricto cumplimiento a las recomendaciones y garantizar el buen y debido estado de esta central que repercute con la operación y funcionalidad de la red semafórica en general del Municipio de Bucaramanga. </t>
  </si>
  <si>
    <t xml:space="preserve">*La oficina de señalización realiza programación semanal de actividades de reposición y/o implementación de nueva señalización en las diferentes comunas y/o sectores del municipio de Bucaramanga.
*La oficina de señalización realiza Informe mensual de avance de ejecución en las actividades. </t>
  </si>
  <si>
    <t>El Coordinador del grupo de planeamiento vial realiza seguimiento de forma escrita trimestralmente a las metas propuestas en el plan de desarrollo.</t>
  </si>
  <si>
    <t>Efectuar por lo menos dos (2) visitas técnicas en el año, a intersecciones semaforizadas que no tenga problemas de funcionamiento y/o operación con el fin de adelantar el mantenimiento preventivo y así reducir fallas durante el paso del tiempo, por medio de una ficha técnica de revisión de mantenimiento preventivo ( Excel).</t>
  </si>
  <si>
    <t>Planeamiento vial</t>
  </si>
  <si>
    <t xml:space="preserve">Posibilidad de generar sanciones legales y pecuniarias a la entidad por inasistencia a las audicias penales. </t>
  </si>
  <si>
    <t>Tiempos limitados para proyectar y/o revisar los actos administrativos correspondientes.</t>
  </si>
  <si>
    <t>Ausencia de personal con experciencia en el tema para realizar la proyección y/o revisión de los actos administrativos.</t>
  </si>
  <si>
    <t>Posibilidad de cometer errores jurídicos en la proyección y/o revisión de actos administrativos por ausencia de personal con experciencia en el tema y/o tiempos limitados para cumplir con las actividades.</t>
  </si>
  <si>
    <t>La jefe jurídica realizar un filtro jurídico de todos los actos administrativos proyectados y/o revisados por su equipo de trabajo, comprobando la veracidad de la información.
Cuando son actos administrativos pendientes por revisar, los abogados asignados realizar el primer filtro y por último pasa a la jefe jurídica.</t>
  </si>
  <si>
    <t>Crear y publicar por medio de una circular un cronograma con los temas y tiempos estipulados para la entrega y/o revisión de los actos administrativos por parte de las área gestoras de la DTB.</t>
  </si>
  <si>
    <t xml:space="preserve">Jefe de Oficina Jurídica </t>
  </si>
  <si>
    <t>La auxiliar de sistemas actualiza a medida que llegan los requerimientos la agenda interna del área para priorizar las solicitudes enviadas por los entes de control</t>
  </si>
  <si>
    <t>El jefe de la oficina asesora de sistemas realiza seguimiento a los correos enviados por el sistema PQRSD, y delega a los contratistas y funcionarios encargados, para dar respuesta oportuna dentro de los términos establecidos.</t>
  </si>
  <si>
    <t>El jefe de oficina asesora de sistemas realizará 2 capacitaciones en el año a su equipo de trabajo para dar una respuesta oportuna, y clara a las PQRSD asiganas por el quipo de atención al ciudadano, entregando acta y listado de asistencia.</t>
  </si>
  <si>
    <t>Oficina asesora de Sistemas</t>
  </si>
  <si>
    <t>Falta de equipos para la verificación y/o confirmación de éstos documentos.</t>
  </si>
  <si>
    <t>Posibilidad de recibir documentación pública o privada presuntamente falsa, en la radicación de trámites de Registro Automotor, incluyendo el Levantamiento de Prenda.</t>
  </si>
  <si>
    <t xml:space="preserve">Información errónea en el sistema misional Moviliza.
</t>
  </si>
  <si>
    <t>Error en la depuración y/o migración de datos en plataforma Runt, por error humano.</t>
  </si>
  <si>
    <t>Posibilidad de elaborar, expedir y entregar tarjetas de propiedad de vehículos o certificados sobre los vehículos a los usuarios con errores en la información de su contenido, por inconsistencias en plataforma Runt y sistema misional de la entidad.</t>
  </si>
  <si>
    <t>Ausencia de control por la normatividad vigente que nos habilite solicitar documentación extra para confirmar la veracidad de la información.</t>
  </si>
  <si>
    <t>El funcionario de ventanilla una vez reciba la documentación como son el contrato de mandato (poder)  y/o carta para levantamiento de prenda, procede a realizar la confirmación de la autenticidad y legalidad del documento ante la Notaría correspondiente para el caso del contrato de mandato y ante la persona natural o jurídica (entidad bancaria) para el caso del documento levantamiento de prenda.
Es de anotar que en la actualidad las confirmaciones son procesadas mediante correo institucional o verificación en línea para el caso de las Notarías (lectura código QR).</t>
  </si>
  <si>
    <t>Asesor Grado 01
Grupo Registro Automotor</t>
  </si>
  <si>
    <t>00/12/2022</t>
  </si>
  <si>
    <t>Incumplimiento de los requisitos del Sistema integrado de gestión de calidad y ambiental</t>
  </si>
  <si>
    <t>Desconocimiento o negligencia de los colaboradores sobre los procedimientos y/o programas establecidos en el Sistema integrado de gestión de calidad y ambiental.
Falta de recursos para ejecutar actividades del sistema.</t>
  </si>
  <si>
    <t>Posibilidad de perder el certificado del sistema de gestión de calidad y ambiental por incumplimiento de los requisitos del Sistema de gestión de calidad y ambiental debido a la falta, desconocimiento o negligencia de los colaboradores sobre los procedimientos y/o programas establecidos en el Sistema integrado de gestión de calidad y ambiental.</t>
  </si>
  <si>
    <t>El asesor de calidad mensualmente, trimestralmente, semestralmente o anualmente,  realiza seguimiento y reporte de los indicadores ambientales establecidos en los programas ambientales.</t>
  </si>
  <si>
    <t>Jefe de la oficina asesora CDA</t>
  </si>
  <si>
    <t>Junio</t>
  </si>
  <si>
    <t>La auxiliar administrativa registra todas las ventas en el formato de arqueo F-GINA-013 y el formato único de trasporte BRINKS.
El jefe de la oficina verifica la veracidad de la información por meido del sistema JASPER.
El jefe de la oficina realiza semanalmente verificación por medio de la dispersión enviada por el agente recaudador, con respecto a las ventas realizadas.</t>
  </si>
  <si>
    <t>El asesor de calidad del CDA, realiza una lista chequeo de acuerdo al procedimient de inspección de los ítems verificados y registrados por las cámaradas del sistemas de control y vigilancia SICOV, para establecer especial cuidado a la revisión de cada uno de estos.</t>
  </si>
  <si>
    <t>Diciembre</t>
  </si>
  <si>
    <t xml:space="preserve">El Asesor de calidad del CDA, actualizará el procedimiento de inspección de vehículos haciendo especial connotación en los ítems controlados por SICOV, a través de cámaras.
Adicional se realizará capacitación y supervisión al personas inspector.
Se realizará actualización técnica y electrócnica de los equipos de inspección, así como la actualización del software de realización de pruebas. Fichas técnicas, manual del software y certificados de calibración actualizados.
</t>
  </si>
  <si>
    <t>Realizar por lo menos dos (2) visitas técnicas en el año, a los barrios y/o comunas con el fin de evidenciar las necesidades básicas y apremiantes que cuentan estos sectores en material de señalización vial teniendo en cuenta la limitación de la disponibilidad presupuestal de la Entidad para este rubro. 
Entregable: Ficha técnica de control de necesidad por sector  y/o informes.</t>
  </si>
  <si>
    <t>El Asesor del Grupo Registro Automotor solicitará a la alta Dirección por medio de un memorando la asignación de lectores QR en donde cada ventanilla pueda realizar la confirmación de los poderes ante la Notaría correspondiente. Para el caso de levantamiento de prenda sobre un vehículo, se realizará la confirmación a través del correo institucional, dejando como evidencia la respectiva respuesta dentro del trámite.</t>
  </si>
  <si>
    <t>Los auxiliares administrativos que conforman la mesa de ayuda, verifican que los datos registrados en la plataforma Runt corresponda a los soportes que reposan en la carpeta física del vehículo.</t>
  </si>
  <si>
    <t>El Asesor del Grupo Registro Automotor presentará ante la alta Dirección una (1) alternativa para realizar el proceso de migración, actualización y depuración de la base de datos de vehículos inscritos en la Dirección de Tránsito de Bucaramanga. Labor que debe ser desarrollada con el apoyo del asesor adscrito a la oficina de Sistemas. Para lo cual se debe considerar la imperiosa necesidad de contratar una firma especializada en actualización y migración de base de datos, que tenga a su disposición el personal idóneo y herramientas tecnológicas para su depuración.</t>
  </si>
  <si>
    <t>La auxiliar administrativa, el profesional especializado junto con la oficina asesora de calidad realizará actualización del cuadro de control de quejas y procesos de control interno disciplinario el cual debe contener las etapas procesales y dentro del cuadro de observaciones registrar las actuaciones que se le han realizado a cada proceso.</t>
  </si>
  <si>
    <t>Auxiliar administrativa y profesional especializado de control interno disciplinario.</t>
  </si>
  <si>
    <t>Secretaria ejecutiva de la oficina de contratación</t>
  </si>
  <si>
    <t>El jefe de la Oficina diseñará un formato donde se unificará toda la información contable de las ventas realizadas por los servicios del CDA.</t>
  </si>
  <si>
    <t>Corrupción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</si>
</sst>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3"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24"/>
      <color theme="1"/>
      <name val="Arial Narrow"/>
      <family val="2"/>
    </font>
    <font>
      <b/>
      <sz val="24"/>
      <color rgb="FF000000"/>
      <name val="Calibri"/>
      <family val="2"/>
    </font>
    <font>
      <b/>
      <sz val="20"/>
      <color theme="1"/>
      <name val="Calibri"/>
      <family val="2"/>
      <scheme val="minor"/>
    </font>
    <font>
      <b/>
      <sz val="26"/>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sz val="8"/>
      <name val="Calibri"/>
      <family val="2"/>
      <scheme val="minor"/>
    </font>
    <font>
      <sz val="11"/>
      <color rgb="FFFF0000"/>
      <name val="Arial Narrow"/>
      <family val="2"/>
    </font>
    <font>
      <sz val="11"/>
      <color indexed="8"/>
      <name val="Arial"/>
      <family val="2"/>
    </font>
  </fonts>
  <fills count="17">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8" tint="0.79998168889431442"/>
        <bgColor indexed="64"/>
      </patternFill>
    </fill>
  </fills>
  <borders count="71">
    <border>
      <left/>
      <right/>
      <top/>
      <bottom/>
      <diagonal/>
    </border>
    <border>
      <left style="dotted">
        <color rgb="FFF79646"/>
      </left>
      <right style="dotted">
        <color rgb="FFF79646"/>
      </right>
      <top style="dotted">
        <color rgb="FFF79646"/>
      </top>
      <bottom style="dotted">
        <color rgb="FFF79646"/>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theme="9"/>
      </left>
      <right style="thin">
        <color theme="9"/>
      </right>
      <top style="thin">
        <color theme="9"/>
      </top>
      <bottom style="thin">
        <color theme="9"/>
      </bottom>
      <diagonal/>
    </border>
    <border>
      <left style="thin">
        <color theme="9"/>
      </left>
      <right style="thin">
        <color theme="9"/>
      </right>
      <top style="thin">
        <color theme="9"/>
      </top>
      <bottom/>
      <diagonal/>
    </border>
    <border>
      <left/>
      <right style="thin">
        <color theme="9"/>
      </right>
      <top style="thin">
        <color theme="9"/>
      </top>
      <bottom style="thin">
        <color theme="9"/>
      </bottom>
      <diagonal/>
    </border>
    <border>
      <left style="thin">
        <color theme="9"/>
      </left>
      <right style="thin">
        <color theme="9"/>
      </right>
      <top/>
      <bottom style="thin">
        <color theme="9"/>
      </bottom>
      <diagonal/>
    </border>
    <border>
      <left/>
      <right/>
      <top style="thin">
        <color rgb="FFFF9900"/>
      </top>
      <bottom/>
      <diagonal/>
    </border>
    <border>
      <left style="thin">
        <color rgb="FFFF9900"/>
      </left>
      <right style="thin">
        <color rgb="FFFF9900"/>
      </right>
      <top style="thin">
        <color rgb="FFFF9900"/>
      </top>
      <bottom style="thin">
        <color rgb="FFFF9900"/>
      </bottom>
      <diagonal/>
    </border>
    <border>
      <left/>
      <right style="thin">
        <color rgb="FFFF9900"/>
      </right>
      <top style="thin">
        <color rgb="FFFF9900"/>
      </top>
      <bottom style="thin">
        <color rgb="FFFF9900"/>
      </bottom>
      <diagonal/>
    </border>
    <border>
      <left style="thin">
        <color theme="9"/>
      </left>
      <right style="thin">
        <color rgb="FFFF9900"/>
      </right>
      <top style="thin">
        <color theme="9"/>
      </top>
      <bottom/>
      <diagonal/>
    </border>
    <border>
      <left style="thin">
        <color rgb="FFFF9900"/>
      </left>
      <right style="thin">
        <color theme="9"/>
      </right>
      <top style="thin">
        <color theme="9"/>
      </top>
      <bottom/>
      <diagonal/>
    </border>
    <border>
      <left style="thin">
        <color theme="9"/>
      </left>
      <right/>
      <top style="thin">
        <color theme="9"/>
      </top>
      <bottom/>
      <diagonal/>
    </border>
    <border>
      <left style="thin">
        <color theme="9"/>
      </left>
      <right style="thin">
        <color theme="9"/>
      </right>
      <top style="thin">
        <color rgb="FFFF9900"/>
      </top>
      <bottom style="thin">
        <color theme="9"/>
      </bottom>
      <diagonal/>
    </border>
    <border>
      <left style="thin">
        <color rgb="FFFF9900"/>
      </left>
      <right/>
      <top style="thin">
        <color rgb="FFFF9900"/>
      </top>
      <bottom/>
      <diagonal/>
    </border>
    <border>
      <left style="thin">
        <color theme="9"/>
      </left>
      <right style="thin">
        <color theme="9"/>
      </right>
      <top/>
      <bottom/>
      <diagonal/>
    </border>
    <border>
      <left style="thin">
        <color theme="9" tint="-0.249977111117893"/>
      </left>
      <right style="thin">
        <color theme="9" tint="-0.249977111117893"/>
      </right>
      <top style="thin">
        <color theme="9" tint="-0.249977111117893"/>
      </top>
      <bottom style="thin">
        <color theme="9" tint="-0.249977111117893"/>
      </bottom>
      <diagonal/>
    </border>
    <border>
      <left/>
      <right/>
      <top style="dashed">
        <color theme="9" tint="-0.24994659260841701"/>
      </top>
      <bottom/>
      <diagonal/>
    </border>
    <border>
      <left/>
      <right style="thin">
        <color theme="9"/>
      </right>
      <top style="thin">
        <color theme="9"/>
      </top>
      <bottom/>
      <diagonal/>
    </border>
    <border>
      <left/>
      <right/>
      <top style="thin">
        <color theme="9"/>
      </top>
      <bottom/>
      <diagonal/>
    </border>
    <border>
      <left/>
      <right/>
      <top/>
      <bottom style="thin">
        <color theme="9" tint="-0.249977111117893"/>
      </bottom>
      <diagonal/>
    </border>
    <border>
      <left/>
      <right style="thin">
        <color theme="9" tint="-0.249977111117893"/>
      </right>
      <top style="thin">
        <color theme="9" tint="-0.249977111117893"/>
      </top>
      <bottom style="thin">
        <color theme="9" tint="-0.249977111117893"/>
      </bottom>
      <diagonal/>
    </border>
    <border>
      <left style="thin">
        <color theme="9"/>
      </left>
      <right style="thin">
        <color theme="9"/>
      </right>
      <top style="thin">
        <color rgb="FFFF9900"/>
      </top>
      <bottom/>
      <diagonal/>
    </border>
    <border>
      <left/>
      <right style="thin">
        <color theme="9" tint="-0.249977111117893"/>
      </right>
      <top style="thin">
        <color theme="9" tint="-0.249977111117893"/>
      </top>
      <bottom/>
      <diagonal/>
    </border>
    <border>
      <left style="thin">
        <color theme="9" tint="-0.249977111117893"/>
      </left>
      <right style="thin">
        <color theme="9" tint="-0.249977111117893"/>
      </right>
      <top style="thin">
        <color theme="9" tint="-0.249977111117893"/>
      </top>
      <bottom/>
      <diagonal/>
    </border>
    <border>
      <left style="thin">
        <color theme="9"/>
      </left>
      <right/>
      <top style="thin">
        <color theme="9"/>
      </top>
      <bottom style="thin">
        <color theme="9"/>
      </bottom>
      <diagonal/>
    </border>
    <border>
      <left style="thin">
        <color theme="9"/>
      </left>
      <right style="thin">
        <color theme="9"/>
      </right>
      <top style="thin">
        <color theme="9" tint="-0.249977111117893"/>
      </top>
      <bottom style="thin">
        <color theme="9"/>
      </bottom>
      <diagonal/>
    </border>
    <border>
      <left/>
      <right/>
      <top style="thin">
        <color theme="9"/>
      </top>
      <bottom style="thin">
        <color theme="9"/>
      </bottom>
      <diagonal/>
    </border>
  </borders>
  <cellStyleXfs count="5">
    <xf numFmtId="0" fontId="0" fillId="0" borderId="0"/>
    <xf numFmtId="9" fontId="14" fillId="0" borderId="0" applyFont="0" applyFill="0" applyBorder="0" applyAlignment="0" applyProtection="0"/>
    <xf numFmtId="0" fontId="39" fillId="0" borderId="0"/>
    <xf numFmtId="0" fontId="40" fillId="0" borderId="0"/>
    <xf numFmtId="0" fontId="5" fillId="0" borderId="0"/>
  </cellStyleXfs>
  <cellXfs count="486">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2" xfId="0" applyFont="1" applyFill="1" applyBorder="1" applyAlignment="1">
      <alignment horizontal="center" vertical="center" wrapText="1" readingOrder="1"/>
    </xf>
    <xf numFmtId="0" fontId="10" fillId="0" borderId="2" xfId="0" applyFont="1" applyBorder="1" applyAlignment="1">
      <alignment horizontal="justify" vertical="center" wrapText="1" readingOrder="1"/>
    </xf>
    <xf numFmtId="9" fontId="10" fillId="0" borderId="2"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4" fillId="3" borderId="0" xfId="0" applyFont="1" applyFill="1" applyAlignment="1">
      <alignment horizontal="center" vertical="center"/>
    </xf>
    <xf numFmtId="0" fontId="1" fillId="3" borderId="0" xfId="0" applyFont="1" applyFill="1" applyAlignment="1">
      <alignment vertical="center"/>
    </xf>
    <xf numFmtId="0" fontId="28" fillId="0" borderId="0" xfId="0" applyFont="1" applyFill="1" applyAlignment="1">
      <alignment vertical="center"/>
    </xf>
    <xf numFmtId="0" fontId="29" fillId="0" borderId="0" xfId="0" applyFont="1" applyFill="1"/>
    <xf numFmtId="0" fontId="27" fillId="0" borderId="0" xfId="0" applyFont="1"/>
    <xf numFmtId="0" fontId="0" fillId="0" borderId="0" xfId="0" pivotButton="1"/>
    <xf numFmtId="0" fontId="12" fillId="0" borderId="0" xfId="0" applyFont="1" applyBorder="1" applyAlignment="1">
      <alignment horizontal="justify" vertical="center" wrapText="1" readingOrder="1"/>
    </xf>
    <xf numFmtId="0" fontId="30" fillId="0" borderId="0" xfId="0" applyFont="1"/>
    <xf numFmtId="0" fontId="32" fillId="6" borderId="0" xfId="0" applyFont="1" applyFill="1" applyAlignment="1">
      <alignment horizontal="center" vertical="center" wrapText="1" readingOrder="1"/>
    </xf>
    <xf numFmtId="0" fontId="33" fillId="0" borderId="2" xfId="0" applyFont="1" applyBorder="1" applyAlignment="1">
      <alignment horizontal="justify" vertical="center" wrapText="1" readingOrder="1"/>
    </xf>
    <xf numFmtId="0" fontId="33" fillId="0" borderId="1" xfId="0" applyFont="1" applyBorder="1" applyAlignment="1">
      <alignment horizontal="justify" vertical="center" wrapText="1" readingOrder="1"/>
    </xf>
    <xf numFmtId="0" fontId="33" fillId="5" borderId="2" xfId="0" applyFont="1" applyFill="1" applyBorder="1" applyAlignment="1">
      <alignment horizontal="center" vertical="center" wrapText="1" readingOrder="1"/>
    </xf>
    <xf numFmtId="0" fontId="33" fillId="7" borderId="1" xfId="0" applyFont="1" applyFill="1" applyBorder="1" applyAlignment="1">
      <alignment horizontal="center" vertical="center" wrapText="1" readingOrder="1"/>
    </xf>
    <xf numFmtId="0" fontId="33" fillId="4" borderId="1" xfId="0" applyFont="1" applyFill="1" applyBorder="1" applyAlignment="1">
      <alignment horizontal="center" vertical="center" wrapText="1" readingOrder="1"/>
    </xf>
    <xf numFmtId="0" fontId="33" fillId="8" borderId="1" xfId="0" applyFont="1" applyFill="1" applyBorder="1" applyAlignment="1">
      <alignment horizontal="center" vertical="center" wrapText="1" readingOrder="1"/>
    </xf>
    <xf numFmtId="0" fontId="34" fillId="9" borderId="1" xfId="0" applyFont="1" applyFill="1" applyBorder="1" applyAlignment="1">
      <alignment horizontal="center" vertical="center" wrapText="1" readingOrder="1"/>
    </xf>
    <xf numFmtId="0" fontId="33" fillId="0" borderId="2" xfId="0" applyFont="1" applyBorder="1" applyAlignment="1">
      <alignment horizontal="center" vertical="center" wrapText="1" readingOrder="1"/>
    </xf>
    <xf numFmtId="0" fontId="33" fillId="0" borderId="1" xfId="0" applyFont="1" applyBorder="1" applyAlignment="1">
      <alignment horizontal="center" vertical="center" wrapText="1" readingOrder="1"/>
    </xf>
    <xf numFmtId="0" fontId="19" fillId="11" borderId="3"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1" borderId="4" xfId="0" applyFont="1" applyFill="1" applyBorder="1" applyAlignment="1" applyProtection="1">
      <alignment horizontal="center" vertical="center" wrapText="1" readingOrder="1"/>
      <protection hidden="1"/>
    </xf>
    <xf numFmtId="0" fontId="19" fillId="12" borderId="3"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2" borderId="4" xfId="0" applyFont="1" applyFill="1" applyBorder="1" applyAlignment="1" applyProtection="1">
      <alignment horizontal="center" wrapText="1" readingOrder="1"/>
      <protection hidden="1"/>
    </xf>
    <xf numFmtId="0" fontId="19" fillId="11" borderId="5" xfId="0" applyFont="1" applyFill="1" applyBorder="1" applyAlignment="1" applyProtection="1">
      <alignment horizontal="center" vertical="center" wrapText="1" readingOrder="1"/>
      <protection hidden="1"/>
    </xf>
    <xf numFmtId="0" fontId="19" fillId="11" borderId="0" xfId="0" applyFont="1" applyFill="1" applyBorder="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0"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1" borderId="0" xfId="0" applyFont="1" applyFill="1" applyAlignment="1" applyProtection="1">
      <alignment horizontal="center" vertical="center" wrapText="1" readingOrder="1"/>
      <protection hidden="1"/>
    </xf>
    <xf numFmtId="0" fontId="19" fillId="11" borderId="7" xfId="0" applyFont="1" applyFill="1" applyBorder="1" applyAlignment="1" applyProtection="1">
      <alignment horizontal="center" vertic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3" borderId="3"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13" borderId="4"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0" xfId="0" applyFont="1" applyFill="1" applyBorder="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5" borderId="3"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19" fillId="5" borderId="4" xfId="0" applyFont="1" applyFill="1" applyBorder="1" applyAlignment="1" applyProtection="1">
      <alignment horizontal="center" wrapText="1" readingOrder="1"/>
      <protection hidden="1"/>
    </xf>
    <xf numFmtId="0" fontId="19" fillId="5" borderId="5" xfId="0" applyFont="1" applyFill="1" applyBorder="1" applyAlignment="1" applyProtection="1">
      <alignment horizontal="center" wrapText="1" readingOrder="1"/>
      <protection hidden="1"/>
    </xf>
    <xf numFmtId="0" fontId="19" fillId="5" borderId="0" xfId="0" applyFont="1" applyFill="1" applyBorder="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23" fillId="13" borderId="10" xfId="0" applyFont="1" applyFill="1" applyBorder="1" applyAlignment="1" applyProtection="1">
      <alignment horizontal="center" wrapText="1" readingOrder="1"/>
      <protection hidden="1"/>
    </xf>
    <xf numFmtId="0" fontId="0" fillId="3" borderId="0" xfId="0" applyFill="1"/>
    <xf numFmtId="0" fontId="41" fillId="3" borderId="22" xfId="2" applyFont="1" applyFill="1" applyBorder="1" applyProtection="1"/>
    <xf numFmtId="0" fontId="41" fillId="3" borderId="23" xfId="2" applyFont="1" applyFill="1" applyBorder="1" applyProtection="1"/>
    <xf numFmtId="0" fontId="41" fillId="3" borderId="24" xfId="2" applyFont="1" applyFill="1" applyBorder="1" applyProtection="1"/>
    <xf numFmtId="0" fontId="16" fillId="3" borderId="0" xfId="0" applyFont="1" applyFill="1" applyAlignment="1">
      <alignment vertical="center"/>
    </xf>
    <xf numFmtId="0" fontId="13" fillId="3" borderId="0" xfId="0" applyFont="1" applyFill="1"/>
    <xf numFmtId="0" fontId="31" fillId="3" borderId="0" xfId="0" applyFont="1" applyFill="1" applyAlignment="1">
      <alignment horizontal="center" vertical="center" wrapText="1"/>
    </xf>
    <xf numFmtId="0" fontId="12" fillId="3" borderId="0" xfId="0" applyFont="1" applyFill="1" applyBorder="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1" fillId="3" borderId="5" xfId="2" applyFont="1" applyFill="1" applyBorder="1" applyProtection="1"/>
    <xf numFmtId="0" fontId="46" fillId="3" borderId="0" xfId="0" applyFont="1" applyFill="1" applyBorder="1" applyAlignment="1" applyProtection="1">
      <alignment horizontal="left" vertical="center" wrapText="1"/>
    </xf>
    <xf numFmtId="0" fontId="47" fillId="3" borderId="0" xfId="0" applyFont="1" applyFill="1" applyBorder="1" applyAlignment="1" applyProtection="1">
      <alignment horizontal="left" vertical="top" wrapText="1"/>
    </xf>
    <xf numFmtId="0" fontId="41" fillId="3" borderId="0" xfId="2" applyFont="1" applyFill="1" applyBorder="1" applyProtection="1"/>
    <xf numFmtId="0" fontId="41" fillId="3" borderId="6" xfId="2" applyFont="1" applyFill="1" applyBorder="1" applyProtection="1"/>
    <xf numFmtId="0" fontId="41" fillId="3" borderId="7" xfId="2" applyFont="1" applyFill="1" applyBorder="1" applyProtection="1"/>
    <xf numFmtId="0" fontId="41" fillId="3" borderId="9" xfId="2" applyFont="1" applyFill="1" applyBorder="1" applyProtection="1"/>
    <xf numFmtId="0" fontId="41" fillId="3" borderId="8" xfId="2" applyFont="1" applyFill="1" applyBorder="1" applyProtection="1"/>
    <xf numFmtId="0" fontId="45" fillId="3" borderId="0" xfId="2" applyFont="1" applyFill="1" applyBorder="1" applyAlignment="1" applyProtection="1">
      <alignment horizontal="left" vertical="center" wrapText="1"/>
    </xf>
    <xf numFmtId="0" fontId="41" fillId="3" borderId="0" xfId="2" applyFont="1" applyFill="1" applyBorder="1" applyAlignment="1" applyProtection="1">
      <alignment horizontal="left" vertical="center" wrapText="1"/>
    </xf>
    <xf numFmtId="0" fontId="41" fillId="3" borderId="0" xfId="2" quotePrefix="1" applyFont="1" applyFill="1" applyBorder="1" applyAlignment="1" applyProtection="1">
      <alignment horizontal="left" vertical="center" wrapText="1"/>
    </xf>
    <xf numFmtId="0" fontId="41" fillId="3" borderId="6" xfId="2" applyFont="1" applyFill="1" applyBorder="1" applyAlignment="1" applyProtection="1"/>
    <xf numFmtId="0" fontId="43" fillId="3" borderId="5" xfId="2" quotePrefix="1" applyFont="1" applyFill="1" applyBorder="1" applyAlignment="1" applyProtection="1">
      <alignment horizontal="left" vertical="top" wrapText="1"/>
    </xf>
    <xf numFmtId="0" fontId="44" fillId="3" borderId="0" xfId="2" quotePrefix="1" applyFont="1" applyFill="1" applyBorder="1" applyAlignment="1" applyProtection="1">
      <alignment horizontal="left" vertical="top" wrapText="1"/>
    </xf>
    <xf numFmtId="0" fontId="44" fillId="3" borderId="6" xfId="2" quotePrefix="1" applyFont="1" applyFill="1" applyBorder="1" applyAlignment="1" applyProtection="1">
      <alignment horizontal="left" vertical="top" wrapText="1"/>
    </xf>
    <xf numFmtId="0" fontId="1" fillId="0" borderId="46" xfId="0" applyFont="1" applyBorder="1"/>
    <xf numFmtId="0" fontId="4" fillId="2" borderId="46" xfId="0" applyFont="1" applyFill="1" applyBorder="1" applyAlignment="1">
      <alignment horizontal="center" vertical="center"/>
    </xf>
    <xf numFmtId="0" fontId="4" fillId="0" borderId="46" xfId="0" applyFont="1" applyFill="1" applyBorder="1" applyAlignment="1" applyProtection="1">
      <alignment vertical="top" wrapText="1"/>
      <protection hidden="1"/>
    </xf>
    <xf numFmtId="9" fontId="1" fillId="0" borderId="46" xfId="0" applyNumberFormat="1" applyFont="1" applyBorder="1" applyAlignment="1" applyProtection="1">
      <alignment vertical="top" wrapText="1"/>
      <protection hidden="1"/>
    </xf>
    <xf numFmtId="9" fontId="1" fillId="0" borderId="46" xfId="0" applyNumberFormat="1" applyFont="1" applyBorder="1" applyAlignment="1" applyProtection="1">
      <alignment vertical="top" wrapText="1"/>
      <protection locked="0"/>
    </xf>
    <xf numFmtId="0" fontId="4" fillId="0" borderId="46" xfId="0" applyFont="1" applyBorder="1" applyAlignment="1" applyProtection="1">
      <alignment vertical="top"/>
      <protection hidden="1"/>
    </xf>
    <xf numFmtId="0" fontId="1" fillId="0" borderId="46" xfId="0" applyFont="1" applyBorder="1" applyAlignment="1" applyProtection="1">
      <alignment horizontal="center" vertical="top"/>
    </xf>
    <xf numFmtId="0" fontId="6" fillId="0" borderId="46" xfId="0" applyFont="1" applyBorder="1" applyAlignment="1" applyProtection="1">
      <alignment horizontal="justify" vertical="top" wrapText="1"/>
      <protection locked="0"/>
    </xf>
    <xf numFmtId="0" fontId="1" fillId="0" borderId="46" xfId="0" applyFont="1" applyBorder="1" applyAlignment="1" applyProtection="1">
      <alignment horizontal="center" vertical="top" textRotation="90"/>
      <protection locked="0"/>
    </xf>
    <xf numFmtId="9" fontId="1" fillId="0" borderId="46" xfId="0" applyNumberFormat="1" applyFont="1" applyBorder="1" applyAlignment="1" applyProtection="1">
      <alignment horizontal="center" vertical="top"/>
      <protection hidden="1"/>
    </xf>
    <xf numFmtId="164" fontId="1" fillId="0" borderId="46" xfId="1" applyNumberFormat="1" applyFont="1" applyBorder="1" applyAlignment="1">
      <alignment horizontal="center" vertical="top"/>
    </xf>
    <xf numFmtId="0" fontId="4" fillId="0" borderId="46" xfId="0" applyFont="1" applyFill="1" applyBorder="1" applyAlignment="1" applyProtection="1">
      <alignment horizontal="center" vertical="top" textRotation="90" wrapText="1"/>
      <protection hidden="1"/>
    </xf>
    <xf numFmtId="0" fontId="4" fillId="0" borderId="46" xfId="0" applyFont="1" applyBorder="1" applyAlignment="1" applyProtection="1">
      <alignment horizontal="center" vertical="top" textRotation="90"/>
      <protection hidden="1"/>
    </xf>
    <xf numFmtId="0" fontId="1" fillId="0" borderId="46" xfId="0" applyFont="1" applyBorder="1" applyAlignment="1" applyProtection="1">
      <alignment horizontal="justify" vertical="top"/>
      <protection locked="0"/>
    </xf>
    <xf numFmtId="0" fontId="1" fillId="0" borderId="46" xfId="0" applyFont="1" applyBorder="1" applyAlignment="1" applyProtection="1">
      <alignment horizontal="center" vertical="top"/>
      <protection locked="0"/>
    </xf>
    <xf numFmtId="0" fontId="1" fillId="3" borderId="46" xfId="0" applyFont="1" applyFill="1" applyBorder="1" applyAlignment="1">
      <alignment horizontal="center" vertical="center"/>
    </xf>
    <xf numFmtId="0" fontId="1" fillId="3" borderId="46" xfId="0" applyFont="1" applyFill="1" applyBorder="1" applyAlignment="1">
      <alignment horizontal="left" vertical="center"/>
    </xf>
    <xf numFmtId="0" fontId="1" fillId="3" borderId="46" xfId="0" applyFont="1" applyFill="1" applyBorder="1"/>
    <xf numFmtId="0" fontId="4" fillId="2" borderId="46" xfId="0" applyFont="1" applyFill="1" applyBorder="1" applyAlignment="1">
      <alignment horizontal="center" vertical="center" textRotation="90"/>
    </xf>
    <xf numFmtId="0" fontId="1" fillId="0" borderId="46" xfId="0" applyFont="1" applyBorder="1" applyAlignment="1">
      <alignment horizontal="center" vertical="center"/>
    </xf>
    <xf numFmtId="0" fontId="1" fillId="0" borderId="46" xfId="0" applyFont="1" applyBorder="1" applyAlignment="1">
      <alignment horizontal="center" vertical="center" wrapText="1"/>
    </xf>
    <xf numFmtId="0" fontId="10" fillId="15" borderId="1" xfId="0" applyFont="1" applyFill="1" applyBorder="1" applyAlignment="1">
      <alignment horizontal="justify" vertical="center" wrapText="1" readingOrder="1"/>
    </xf>
    <xf numFmtId="0" fontId="1" fillId="0" borderId="50" xfId="0" applyFont="1" applyBorder="1"/>
    <xf numFmtId="9" fontId="1" fillId="0" borderId="46" xfId="0" applyNumberFormat="1" applyFont="1" applyBorder="1" applyAlignment="1" applyProtection="1">
      <alignment horizontal="center" vertical="center" wrapText="1"/>
      <protection hidden="1"/>
    </xf>
    <xf numFmtId="9" fontId="1" fillId="0" borderId="47" xfId="0" applyNumberFormat="1" applyFont="1" applyBorder="1" applyAlignment="1" applyProtection="1">
      <alignment horizontal="center" vertical="center" wrapText="1"/>
      <protection hidden="1"/>
    </xf>
    <xf numFmtId="0" fontId="6" fillId="0" borderId="52" xfId="0" applyFont="1" applyBorder="1" applyAlignment="1" applyProtection="1">
      <alignment horizontal="justify" vertical="top" wrapText="1"/>
      <protection locked="0"/>
    </xf>
    <xf numFmtId="0" fontId="1" fillId="0" borderId="51" xfId="0" applyFont="1" applyBorder="1" applyAlignment="1" applyProtection="1">
      <alignment horizontal="center" vertical="center"/>
    </xf>
    <xf numFmtId="0" fontId="1" fillId="0" borderId="52" xfId="0" applyFont="1" applyBorder="1" applyAlignment="1" applyProtection="1">
      <alignment horizontal="center" vertical="center"/>
    </xf>
    <xf numFmtId="0" fontId="6" fillId="0" borderId="56" xfId="0" applyFont="1" applyBorder="1" applyAlignment="1" applyProtection="1">
      <alignment horizontal="justify" vertical="top" wrapText="1"/>
      <protection locked="0"/>
    </xf>
    <xf numFmtId="0" fontId="6" fillId="0" borderId="51" xfId="0" applyFont="1" applyBorder="1" applyAlignment="1" applyProtection="1">
      <alignment horizontal="justify" vertical="top" wrapText="1"/>
      <protection locked="0"/>
    </xf>
    <xf numFmtId="9" fontId="1" fillId="0" borderId="47" xfId="0" applyNumberFormat="1" applyFont="1" applyBorder="1" applyAlignment="1" applyProtection="1">
      <alignment vertical="top" wrapText="1"/>
      <protection hidden="1"/>
    </xf>
    <xf numFmtId="0" fontId="4" fillId="0" borderId="47" xfId="0" applyFont="1" applyFill="1" applyBorder="1" applyAlignment="1" applyProtection="1">
      <alignment vertical="top" wrapText="1"/>
      <protection hidden="1"/>
    </xf>
    <xf numFmtId="9" fontId="1" fillId="0" borderId="55" xfId="0" applyNumberFormat="1" applyFont="1" applyBorder="1" applyAlignment="1" applyProtection="1">
      <alignment vertical="top" wrapText="1"/>
      <protection hidden="1"/>
    </xf>
    <xf numFmtId="0" fontId="4" fillId="0" borderId="54" xfId="0" applyFont="1" applyFill="1" applyBorder="1" applyAlignment="1" applyProtection="1">
      <alignment vertical="top" wrapText="1"/>
      <protection hidden="1"/>
    </xf>
    <xf numFmtId="0" fontId="4" fillId="0" borderId="57" xfId="0" applyFont="1" applyBorder="1" applyAlignment="1" applyProtection="1">
      <alignment vertical="top"/>
      <protection hidden="1"/>
    </xf>
    <xf numFmtId="9" fontId="1" fillId="0" borderId="53" xfId="0" applyNumberFormat="1" applyFont="1" applyBorder="1" applyAlignment="1" applyProtection="1">
      <alignment vertical="top" wrapText="1"/>
      <protection hidden="1"/>
    </xf>
    <xf numFmtId="9" fontId="1" fillId="0" borderId="47" xfId="0" applyNumberFormat="1" applyFont="1" applyBorder="1" applyAlignment="1" applyProtection="1">
      <alignment vertical="top" wrapText="1"/>
      <protection locked="0"/>
    </xf>
    <xf numFmtId="0" fontId="1" fillId="0" borderId="56" xfId="0" applyFont="1" applyBorder="1" applyAlignment="1" applyProtection="1">
      <alignment horizontal="center" vertical="center"/>
    </xf>
    <xf numFmtId="0" fontId="1" fillId="0" borderId="46" xfId="0" applyFont="1" applyBorder="1" applyAlignment="1" applyProtection="1">
      <alignment horizontal="center" vertical="center"/>
    </xf>
    <xf numFmtId="0" fontId="6" fillId="0" borderId="46" xfId="0" applyFont="1" applyBorder="1" applyAlignment="1" applyProtection="1">
      <alignment horizontal="center" vertical="center" wrapText="1"/>
      <protection locked="0"/>
    </xf>
    <xf numFmtId="0" fontId="1" fillId="0" borderId="46" xfId="0" applyFont="1" applyFill="1" applyBorder="1" applyAlignment="1" applyProtection="1">
      <alignment horizontal="center" vertical="top" textRotation="90"/>
      <protection locked="0"/>
    </xf>
    <xf numFmtId="0" fontId="1" fillId="0" borderId="46" xfId="0" applyFont="1" applyBorder="1" applyAlignment="1" applyProtection="1">
      <alignment horizontal="justify" vertical="top" wrapText="1"/>
      <protection locked="0"/>
    </xf>
    <xf numFmtId="0" fontId="1" fillId="0" borderId="46" xfId="0" applyFont="1" applyBorder="1" applyAlignment="1" applyProtection="1">
      <alignment horizontal="center" vertical="center" wrapText="1"/>
      <protection locked="0"/>
    </xf>
    <xf numFmtId="14" fontId="1" fillId="0" borderId="46" xfId="0" applyNumberFormat="1" applyFont="1" applyBorder="1" applyAlignment="1" applyProtection="1">
      <alignment horizontal="center" vertical="center"/>
      <protection locked="0"/>
    </xf>
    <xf numFmtId="0" fontId="1" fillId="0" borderId="47" xfId="0" applyFont="1" applyBorder="1" applyAlignment="1" applyProtection="1">
      <alignment horizontal="center" vertical="top" textRotation="90"/>
      <protection locked="0"/>
    </xf>
    <xf numFmtId="0" fontId="1" fillId="0" borderId="0" xfId="0" applyFont="1" applyBorder="1" applyAlignment="1">
      <alignment horizontal="center" vertical="center" wrapText="1"/>
    </xf>
    <xf numFmtId="9" fontId="1" fillId="0" borderId="0" xfId="0" applyNumberFormat="1" applyFont="1" applyBorder="1" applyAlignment="1" applyProtection="1">
      <alignment horizontal="center" vertical="center" wrapText="1"/>
      <protection hidden="1"/>
    </xf>
    <xf numFmtId="0" fontId="1" fillId="0" borderId="0" xfId="0" applyFont="1" applyBorder="1" applyAlignment="1" applyProtection="1">
      <alignment horizontal="center" vertical="top" textRotation="90"/>
      <protection locked="0"/>
    </xf>
    <xf numFmtId="9" fontId="1" fillId="0" borderId="0" xfId="0" applyNumberFormat="1" applyFont="1" applyBorder="1" applyAlignment="1" applyProtection="1">
      <alignment horizontal="center" vertical="top"/>
      <protection hidden="1"/>
    </xf>
    <xf numFmtId="164" fontId="1" fillId="0" borderId="0" xfId="1" applyNumberFormat="1" applyFont="1" applyBorder="1" applyAlignment="1">
      <alignment horizontal="center" vertical="top"/>
    </xf>
    <xf numFmtId="0" fontId="4" fillId="0" borderId="0" xfId="0" applyFont="1" applyFill="1" applyBorder="1" applyAlignment="1" applyProtection="1">
      <alignment horizontal="center" vertical="top" textRotation="90" wrapText="1"/>
      <protection hidden="1"/>
    </xf>
    <xf numFmtId="0" fontId="4" fillId="0" borderId="0" xfId="0" applyFont="1" applyBorder="1" applyAlignment="1" applyProtection="1">
      <alignment horizontal="center" vertical="top" textRotation="90"/>
      <protection hidden="1"/>
    </xf>
    <xf numFmtId="0" fontId="1" fillId="0" borderId="0" xfId="0" applyFont="1" applyBorder="1" applyAlignment="1" applyProtection="1">
      <alignment horizontal="center" vertical="top" wrapText="1"/>
      <protection locked="0"/>
    </xf>
    <xf numFmtId="0" fontId="1" fillId="0" borderId="0" xfId="0" applyFont="1" applyBorder="1" applyAlignment="1" applyProtection="1">
      <alignment horizontal="center" vertical="top"/>
      <protection locked="0"/>
    </xf>
    <xf numFmtId="14" fontId="1" fillId="0" borderId="0" xfId="0" applyNumberFormat="1" applyFont="1" applyBorder="1" applyAlignment="1" applyProtection="1">
      <alignment horizontal="center" vertical="top"/>
      <protection locked="0"/>
    </xf>
    <xf numFmtId="0" fontId="1" fillId="0" borderId="0" xfId="0" applyFont="1" applyBorder="1"/>
    <xf numFmtId="9" fontId="1" fillId="0" borderId="47" xfId="0" applyNumberFormat="1" applyFont="1" applyBorder="1" applyAlignment="1" applyProtection="1">
      <alignment horizontal="center" vertical="top"/>
      <protection hidden="1"/>
    </xf>
    <xf numFmtId="164" fontId="1" fillId="0" borderId="47" xfId="1" applyNumberFormat="1" applyFont="1" applyBorder="1" applyAlignment="1">
      <alignment horizontal="center" vertical="top"/>
    </xf>
    <xf numFmtId="0" fontId="4" fillId="0" borderId="47" xfId="0" applyFont="1" applyFill="1" applyBorder="1" applyAlignment="1" applyProtection="1">
      <alignment horizontal="center" vertical="top" textRotation="90" wrapText="1"/>
      <protection hidden="1"/>
    </xf>
    <xf numFmtId="0" fontId="4" fillId="0" borderId="47" xfId="0" applyFont="1" applyBorder="1" applyAlignment="1" applyProtection="1">
      <alignment horizontal="center" vertical="top" textRotation="90"/>
      <protection hidden="1"/>
    </xf>
    <xf numFmtId="0" fontId="1" fillId="0" borderId="47" xfId="0" applyFont="1" applyBorder="1" applyAlignment="1" applyProtection="1">
      <alignment horizontal="center" vertical="top"/>
      <protection locked="0"/>
    </xf>
    <xf numFmtId="9" fontId="1" fillId="0" borderId="59" xfId="0" applyNumberFormat="1" applyFont="1" applyBorder="1" applyAlignment="1" applyProtection="1">
      <alignment horizontal="center" vertical="center" wrapText="1"/>
      <protection hidden="1"/>
    </xf>
    <xf numFmtId="0" fontId="1" fillId="0" borderId="59" xfId="0" applyFont="1" applyBorder="1" applyAlignment="1" applyProtection="1">
      <alignment horizontal="center" vertical="top" textRotation="90"/>
      <protection locked="0"/>
    </xf>
    <xf numFmtId="9" fontId="1" fillId="0" borderId="59" xfId="0" applyNumberFormat="1" applyFont="1" applyBorder="1" applyAlignment="1" applyProtection="1">
      <alignment horizontal="center" vertical="top"/>
      <protection hidden="1"/>
    </xf>
    <xf numFmtId="164" fontId="1" fillId="0" borderId="59" xfId="1" applyNumberFormat="1" applyFont="1" applyBorder="1" applyAlignment="1">
      <alignment horizontal="center" vertical="top"/>
    </xf>
    <xf numFmtId="0" fontId="4" fillId="0" borderId="59" xfId="0" applyFont="1" applyFill="1" applyBorder="1" applyAlignment="1" applyProtection="1">
      <alignment horizontal="center" vertical="top" textRotation="90" wrapText="1"/>
      <protection hidden="1"/>
    </xf>
    <xf numFmtId="0" fontId="4" fillId="0" borderId="59" xfId="0" applyFont="1" applyBorder="1" applyAlignment="1" applyProtection="1">
      <alignment horizontal="center" vertical="top" textRotation="90"/>
      <protection hidden="1"/>
    </xf>
    <xf numFmtId="0" fontId="1" fillId="0" borderId="59" xfId="0" applyFont="1" applyBorder="1" applyAlignment="1" applyProtection="1">
      <alignment horizontal="center" vertical="top" wrapText="1"/>
      <protection locked="0"/>
    </xf>
    <xf numFmtId="9" fontId="1" fillId="0" borderId="53" xfId="0" applyNumberFormat="1" applyFont="1" applyBorder="1" applyAlignment="1" applyProtection="1">
      <alignment vertical="top" wrapText="1"/>
      <protection locked="0"/>
    </xf>
    <xf numFmtId="0" fontId="4" fillId="0" borderId="65" xfId="0" applyFont="1" applyBorder="1" applyAlignment="1" applyProtection="1">
      <alignment vertical="top"/>
      <protection hidden="1"/>
    </xf>
    <xf numFmtId="0" fontId="1" fillId="0" borderId="61" xfId="0" applyFont="1" applyFill="1" applyBorder="1" applyAlignment="1" applyProtection="1">
      <alignment horizontal="center" vertical="center"/>
    </xf>
    <xf numFmtId="0" fontId="1" fillId="0" borderId="64" xfId="0" applyFont="1" applyFill="1" applyBorder="1" applyAlignment="1" applyProtection="1">
      <alignment horizontal="center" vertical="center"/>
    </xf>
    <xf numFmtId="0" fontId="6" fillId="0" borderId="47" xfId="0" applyFont="1" applyBorder="1" applyAlignment="1" applyProtection="1">
      <alignment horizontal="center" vertical="center" wrapText="1"/>
      <protection locked="0"/>
    </xf>
    <xf numFmtId="0" fontId="6" fillId="0" borderId="59" xfId="0" applyFont="1" applyBorder="1" applyAlignment="1" applyProtection="1">
      <alignment horizontal="center" vertical="center" wrapText="1"/>
      <protection locked="0"/>
    </xf>
    <xf numFmtId="0" fontId="1" fillId="0" borderId="66" xfId="0" applyFont="1" applyFill="1" applyBorder="1" applyAlignment="1" applyProtection="1">
      <alignment horizontal="center" vertical="center"/>
    </xf>
    <xf numFmtId="0" fontId="6" fillId="0" borderId="67" xfId="0" applyFont="1" applyBorder="1" applyAlignment="1" applyProtection="1">
      <alignment horizontal="center" vertical="center" wrapText="1"/>
      <protection locked="0"/>
    </xf>
    <xf numFmtId="0" fontId="1" fillId="0" borderId="67" xfId="0" applyFont="1" applyBorder="1" applyAlignment="1" applyProtection="1">
      <alignment horizontal="center" vertical="top" textRotation="90"/>
      <protection locked="0"/>
    </xf>
    <xf numFmtId="0" fontId="1" fillId="0" borderId="59" xfId="0" applyFont="1" applyBorder="1" applyAlignment="1">
      <alignment horizontal="center" vertical="center"/>
    </xf>
    <xf numFmtId="0" fontId="6" fillId="0" borderId="59" xfId="0" applyFont="1" applyBorder="1" applyAlignment="1">
      <alignment horizontal="center" vertical="center" wrapText="1"/>
    </xf>
    <xf numFmtId="0" fontId="1" fillId="0" borderId="0" xfId="0" applyFont="1" applyBorder="1" applyAlignment="1" applyProtection="1">
      <alignment horizontal="center" vertical="top"/>
    </xf>
    <xf numFmtId="0" fontId="2" fillId="0" borderId="0" xfId="0" applyFont="1" applyBorder="1" applyAlignment="1" applyProtection="1">
      <alignment horizontal="center" vertical="top" wrapText="1"/>
      <protection locked="0"/>
    </xf>
    <xf numFmtId="0" fontId="4" fillId="0" borderId="0" xfId="0" applyFont="1" applyFill="1" applyBorder="1" applyAlignment="1" applyProtection="1">
      <alignment horizontal="center" vertical="top" wrapText="1"/>
      <protection hidden="1"/>
    </xf>
    <xf numFmtId="9" fontId="1" fillId="0" borderId="0" xfId="0" applyNumberFormat="1" applyFont="1" applyBorder="1" applyAlignment="1" applyProtection="1">
      <alignment horizontal="center" vertical="top" wrapText="1"/>
      <protection hidden="1"/>
    </xf>
    <xf numFmtId="9" fontId="1" fillId="0" borderId="0" xfId="0" applyNumberFormat="1" applyFont="1" applyBorder="1" applyAlignment="1" applyProtection="1">
      <alignment horizontal="center" vertical="top" wrapText="1"/>
      <protection locked="0"/>
    </xf>
    <xf numFmtId="0" fontId="4" fillId="0" borderId="0" xfId="0" applyFont="1" applyBorder="1" applyAlignment="1" applyProtection="1">
      <alignment horizontal="center" vertical="top"/>
      <protection hidden="1"/>
    </xf>
    <xf numFmtId="0" fontId="1" fillId="0" borderId="0" xfId="0" applyFont="1" applyBorder="1" applyAlignment="1">
      <alignment horizontal="center" vertical="center"/>
    </xf>
    <xf numFmtId="0" fontId="6" fillId="0" borderId="0" xfId="0" applyFont="1" applyBorder="1" applyAlignment="1">
      <alignment horizontal="center" vertical="center" wrapText="1"/>
    </xf>
    <xf numFmtId="0" fontId="1" fillId="0" borderId="0" xfId="0" applyFont="1" applyFill="1" applyBorder="1" applyAlignment="1">
      <alignment horizontal="center" vertical="center"/>
    </xf>
    <xf numFmtId="0" fontId="1" fillId="3" borderId="46" xfId="0" applyFont="1" applyFill="1" applyBorder="1" applyAlignment="1">
      <alignment vertical="center"/>
    </xf>
    <xf numFmtId="0" fontId="1" fillId="0" borderId="46" xfId="0" applyFont="1" applyBorder="1" applyAlignment="1" applyProtection="1">
      <alignment horizontal="center" vertical="center"/>
      <protection hidden="1"/>
    </xf>
    <xf numFmtId="0" fontId="1" fillId="0" borderId="48" xfId="0" applyFont="1" applyBorder="1" applyAlignment="1" applyProtection="1">
      <alignment horizontal="center" vertical="center"/>
      <protection hidden="1"/>
    </xf>
    <xf numFmtId="0" fontId="1" fillId="0" borderId="47" xfId="0" applyFont="1" applyBorder="1" applyAlignment="1" applyProtection="1">
      <alignment horizontal="center" vertical="center"/>
      <protection hidden="1"/>
    </xf>
    <xf numFmtId="0" fontId="1" fillId="0" borderId="59" xfId="0"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1" fillId="0" borderId="60" xfId="0" applyFont="1" applyBorder="1" applyAlignment="1">
      <alignment vertical="center"/>
    </xf>
    <xf numFmtId="0" fontId="1" fillId="0" borderId="59" xfId="0" applyFont="1" applyFill="1" applyBorder="1" applyAlignment="1">
      <alignment horizontal="center" vertical="center"/>
    </xf>
    <xf numFmtId="9" fontId="1" fillId="0" borderId="67" xfId="0" applyNumberFormat="1" applyFont="1" applyBorder="1" applyAlignment="1" applyProtection="1">
      <alignment horizontal="center" vertical="center" wrapText="1"/>
      <protection hidden="1"/>
    </xf>
    <xf numFmtId="0" fontId="4" fillId="0" borderId="59" xfId="0" applyFont="1" applyFill="1" applyBorder="1" applyAlignment="1" applyProtection="1">
      <alignment horizontal="center" vertical="center" wrapText="1"/>
      <protection hidden="1"/>
    </xf>
    <xf numFmtId="0" fontId="1" fillId="0" borderId="59" xfId="0" applyFont="1" applyBorder="1" applyAlignment="1" applyProtection="1">
      <alignment horizontal="center" vertical="center"/>
      <protection locked="0"/>
    </xf>
    <xf numFmtId="9" fontId="1" fillId="0" borderId="59" xfId="0" applyNumberFormat="1" applyFont="1" applyBorder="1" applyAlignment="1" applyProtection="1">
      <alignment horizontal="center" vertical="center" wrapText="1"/>
      <protection locked="0"/>
    </xf>
    <xf numFmtId="0" fontId="4" fillId="0" borderId="67" xfId="0" applyFont="1" applyFill="1" applyBorder="1" applyAlignment="1" applyProtection="1">
      <alignment horizontal="center" vertical="center" wrapText="1"/>
      <protection hidden="1"/>
    </xf>
    <xf numFmtId="0" fontId="4" fillId="0" borderId="59" xfId="0" applyFont="1" applyBorder="1" applyAlignment="1" applyProtection="1">
      <alignment horizontal="center" vertical="center"/>
      <protection hidden="1"/>
    </xf>
    <xf numFmtId="0" fontId="1" fillId="0" borderId="46" xfId="0" applyFont="1" applyFill="1" applyBorder="1" applyAlignment="1">
      <alignment horizontal="center" vertical="center"/>
    </xf>
    <xf numFmtId="0" fontId="6" fillId="0" borderId="46" xfId="0" applyFont="1" applyFill="1" applyBorder="1" applyAlignment="1" applyProtection="1">
      <alignment horizontal="justify" vertical="top" wrapText="1"/>
      <protection locked="0"/>
    </xf>
    <xf numFmtId="0" fontId="4" fillId="0" borderId="46" xfId="0" applyFont="1" applyBorder="1" applyAlignment="1" applyProtection="1">
      <alignment vertical="top" wrapText="1"/>
      <protection hidden="1"/>
    </xf>
    <xf numFmtId="0" fontId="1" fillId="0" borderId="46" xfId="0" applyFont="1" applyBorder="1" applyAlignment="1">
      <alignment horizontal="center" vertical="top"/>
    </xf>
    <xf numFmtId="0" fontId="52" fillId="0" borderId="0" xfId="4" applyFont="1" applyAlignment="1">
      <alignment horizontal="center" vertical="center" wrapText="1"/>
    </xf>
    <xf numFmtId="0" fontId="4" fillId="0" borderId="46" xfId="0" applyFont="1" applyBorder="1" applyAlignment="1" applyProtection="1">
      <alignment horizontal="center" vertical="top" textRotation="90" wrapText="1"/>
      <protection hidden="1"/>
    </xf>
    <xf numFmtId="0" fontId="1" fillId="0" borderId="46" xfId="0" applyFont="1" applyBorder="1" applyAlignment="1" applyProtection="1">
      <alignment horizontal="center" vertical="center"/>
      <protection locked="0"/>
    </xf>
    <xf numFmtId="0" fontId="6" fillId="0" borderId="46" xfId="0" applyFont="1" applyBorder="1" applyAlignment="1" applyProtection="1">
      <alignment horizontal="justify" vertical="center" wrapText="1"/>
      <protection locked="0"/>
    </xf>
    <xf numFmtId="0" fontId="6" fillId="0" borderId="46" xfId="0" applyFont="1" applyFill="1" applyBorder="1" applyAlignment="1" applyProtection="1">
      <alignment horizontal="center" vertical="center" wrapText="1"/>
      <protection locked="0"/>
    </xf>
    <xf numFmtId="0" fontId="1" fillId="0" borderId="46" xfId="0" applyFont="1" applyFill="1" applyBorder="1" applyAlignment="1" applyProtection="1">
      <alignment horizontal="center" vertical="top" wrapText="1"/>
      <protection locked="0"/>
    </xf>
    <xf numFmtId="0" fontId="1" fillId="0" borderId="46" xfId="0" applyFont="1" applyFill="1" applyBorder="1" applyAlignment="1" applyProtection="1">
      <alignment horizontal="justify" vertical="top"/>
      <protection locked="0"/>
    </xf>
    <xf numFmtId="0" fontId="33" fillId="16" borderId="1" xfId="0" applyFont="1" applyFill="1" applyBorder="1" applyAlignment="1">
      <alignment horizontal="center" vertical="center" wrapText="1" readingOrder="1"/>
    </xf>
    <xf numFmtId="0" fontId="1" fillId="0" borderId="46" xfId="0" applyFont="1" applyBorder="1" applyAlignment="1" applyProtection="1">
      <alignment horizontal="center" vertical="top"/>
      <protection locked="0"/>
    </xf>
    <xf numFmtId="0" fontId="1" fillId="0" borderId="47" xfId="0" applyFont="1" applyBorder="1" applyAlignment="1" applyProtection="1">
      <alignment horizontal="center" vertical="top"/>
      <protection locked="0"/>
    </xf>
    <xf numFmtId="0" fontId="1" fillId="0" borderId="59" xfId="0" applyFont="1" applyBorder="1" applyAlignment="1" applyProtection="1">
      <alignment horizontal="center" vertical="center" wrapText="1"/>
      <protection locked="0"/>
    </xf>
    <xf numFmtId="0" fontId="1" fillId="0" borderId="47" xfId="0" applyFont="1" applyBorder="1" applyAlignment="1">
      <alignment horizontal="center" vertical="center"/>
    </xf>
    <xf numFmtId="0" fontId="1" fillId="0" borderId="47" xfId="0" applyFont="1" applyBorder="1" applyAlignment="1" applyProtection="1">
      <alignment horizontal="center" vertical="center" wrapText="1"/>
      <protection locked="0"/>
    </xf>
    <xf numFmtId="14" fontId="1" fillId="0" borderId="47" xfId="0" applyNumberFormat="1" applyFont="1" applyBorder="1" applyAlignment="1" applyProtection="1">
      <alignment horizontal="center" vertical="center"/>
      <protection locked="0"/>
    </xf>
    <xf numFmtId="0" fontId="47" fillId="3" borderId="35" xfId="2" applyFont="1" applyFill="1" applyBorder="1" applyAlignment="1" applyProtection="1">
      <alignment horizontal="justify" vertical="center" wrapText="1"/>
    </xf>
    <xf numFmtId="0" fontId="47" fillId="3" borderId="36" xfId="2" applyFont="1" applyFill="1" applyBorder="1" applyAlignment="1" applyProtection="1">
      <alignment horizontal="justify" vertical="center" wrapText="1"/>
    </xf>
    <xf numFmtId="0" fontId="46" fillId="3" borderId="42" xfId="0" applyFont="1" applyFill="1" applyBorder="1" applyAlignment="1" applyProtection="1">
      <alignment horizontal="left" vertical="center" wrapText="1"/>
    </xf>
    <xf numFmtId="0" fontId="46" fillId="3" borderId="43" xfId="0" applyFont="1" applyFill="1" applyBorder="1" applyAlignment="1" applyProtection="1">
      <alignment horizontal="left" vertical="center" wrapText="1"/>
    </xf>
    <xf numFmtId="0" fontId="46" fillId="3" borderId="29" xfId="3" applyFont="1" applyFill="1" applyBorder="1" applyAlignment="1" applyProtection="1">
      <alignment horizontal="left" vertical="top" wrapText="1" readingOrder="1"/>
    </xf>
    <xf numFmtId="0" fontId="46" fillId="3" borderId="30" xfId="3" applyFont="1" applyFill="1" applyBorder="1" applyAlignment="1" applyProtection="1">
      <alignment horizontal="left" vertical="top" wrapText="1" readingOrder="1"/>
    </xf>
    <xf numFmtId="0" fontId="47" fillId="3" borderId="31" xfId="2" applyFont="1" applyFill="1" applyBorder="1" applyAlignment="1" applyProtection="1">
      <alignment horizontal="justify" vertical="center" wrapText="1"/>
    </xf>
    <xf numFmtId="0" fontId="47" fillId="3" borderId="32" xfId="2" applyFont="1" applyFill="1" applyBorder="1" applyAlignment="1" applyProtection="1">
      <alignment horizontal="justify" vertical="center" wrapText="1"/>
    </xf>
    <xf numFmtId="0" fontId="46" fillId="3" borderId="33" xfId="0" applyFont="1" applyFill="1" applyBorder="1" applyAlignment="1" applyProtection="1">
      <alignment horizontal="left" vertical="center" wrapText="1"/>
    </xf>
    <xf numFmtId="0" fontId="46" fillId="3" borderId="34" xfId="0" applyFont="1" applyFill="1" applyBorder="1" applyAlignment="1" applyProtection="1">
      <alignment horizontal="left" vertical="center" wrapText="1"/>
    </xf>
    <xf numFmtId="0" fontId="41" fillId="3" borderId="5" xfId="2" applyFont="1" applyFill="1" applyBorder="1" applyAlignment="1" applyProtection="1">
      <alignment horizontal="left" vertical="top" wrapText="1"/>
    </xf>
    <xf numFmtId="0" fontId="41" fillId="3" borderId="0" xfId="2" applyFont="1" applyFill="1" applyBorder="1" applyAlignment="1" applyProtection="1">
      <alignment horizontal="left" vertical="top" wrapText="1"/>
    </xf>
    <xf numFmtId="0" fontId="41" fillId="3" borderId="6" xfId="2" applyFont="1" applyFill="1" applyBorder="1" applyAlignment="1" applyProtection="1">
      <alignment horizontal="left" vertical="top" wrapText="1"/>
    </xf>
    <xf numFmtId="0" fontId="46" fillId="3" borderId="44" xfId="0" applyFont="1" applyFill="1" applyBorder="1" applyAlignment="1" applyProtection="1">
      <alignment horizontal="left" vertical="center" wrapText="1"/>
    </xf>
    <xf numFmtId="0" fontId="46" fillId="3" borderId="45" xfId="0" applyFont="1" applyFill="1" applyBorder="1" applyAlignment="1" applyProtection="1">
      <alignment horizontal="left" vertical="center" wrapText="1"/>
    </xf>
    <xf numFmtId="0" fontId="47" fillId="3" borderId="37" xfId="0" applyFont="1" applyFill="1" applyBorder="1" applyAlignment="1" applyProtection="1">
      <alignment horizontal="justify" vertical="center" wrapText="1"/>
    </xf>
    <xf numFmtId="0" fontId="47" fillId="3" borderId="38" xfId="0" applyFont="1" applyFill="1" applyBorder="1" applyAlignment="1" applyProtection="1">
      <alignment horizontal="justify" vertical="center" wrapText="1"/>
    </xf>
    <xf numFmtId="0" fontId="42" fillId="14" borderId="19" xfId="2" applyFont="1" applyFill="1" applyBorder="1" applyAlignment="1" applyProtection="1">
      <alignment horizontal="center" vertical="center" wrapText="1"/>
    </xf>
    <xf numFmtId="0" fontId="42" fillId="14" borderId="20" xfId="2" applyFont="1" applyFill="1" applyBorder="1" applyAlignment="1" applyProtection="1">
      <alignment horizontal="center" vertical="center" wrapText="1"/>
    </xf>
    <xf numFmtId="0" fontId="42" fillId="14" borderId="21" xfId="2" applyFont="1" applyFill="1" applyBorder="1" applyAlignment="1" applyProtection="1">
      <alignment horizontal="center" vertical="center" wrapText="1"/>
    </xf>
    <xf numFmtId="0" fontId="41" fillId="0" borderId="5" xfId="2" quotePrefix="1" applyFont="1" applyBorder="1" applyAlignment="1" applyProtection="1">
      <alignment horizontal="left" vertical="center" wrapText="1"/>
    </xf>
    <xf numFmtId="0" fontId="41" fillId="0" borderId="0" xfId="2" quotePrefix="1" applyFont="1" applyBorder="1" applyAlignment="1" applyProtection="1">
      <alignment horizontal="left" vertical="center" wrapText="1"/>
    </xf>
    <xf numFmtId="0" fontId="41" fillId="0" borderId="6" xfId="2" quotePrefix="1" applyFont="1" applyBorder="1" applyAlignment="1" applyProtection="1">
      <alignment horizontal="left" vertical="center" wrapText="1"/>
    </xf>
    <xf numFmtId="0" fontId="41" fillId="0" borderId="39" xfId="2" quotePrefix="1" applyFont="1" applyBorder="1" applyAlignment="1" applyProtection="1">
      <alignment horizontal="left" vertical="center" wrapText="1"/>
    </xf>
    <xf numFmtId="0" fontId="41" fillId="0" borderId="40" xfId="2" quotePrefix="1" applyFont="1" applyBorder="1" applyAlignment="1" applyProtection="1">
      <alignment horizontal="left" vertical="center" wrapText="1"/>
    </xf>
    <xf numFmtId="0" fontId="41" fillId="0" borderId="41" xfId="2" quotePrefix="1" applyFont="1" applyBorder="1" applyAlignment="1" applyProtection="1">
      <alignment horizontal="left" vertical="center" wrapText="1"/>
    </xf>
    <xf numFmtId="0" fontId="43" fillId="3" borderId="22" xfId="2" quotePrefix="1" applyFont="1" applyFill="1" applyBorder="1" applyAlignment="1" applyProtection="1">
      <alignment horizontal="left" vertical="top" wrapText="1"/>
    </xf>
    <xf numFmtId="0" fontId="44" fillId="3" borderId="23" xfId="2" quotePrefix="1" applyFont="1" applyFill="1" applyBorder="1" applyAlignment="1" applyProtection="1">
      <alignment horizontal="left" vertical="top" wrapText="1"/>
    </xf>
    <xf numFmtId="0" fontId="44" fillId="3" borderId="24" xfId="2" quotePrefix="1" applyFont="1" applyFill="1" applyBorder="1" applyAlignment="1" applyProtection="1">
      <alignment horizontal="left" vertical="top" wrapText="1"/>
    </xf>
    <xf numFmtId="0" fontId="41" fillId="0" borderId="5" xfId="2" quotePrefix="1" applyFont="1" applyBorder="1" applyAlignment="1" applyProtection="1">
      <alignment horizontal="left" vertical="top" wrapText="1"/>
    </xf>
    <xf numFmtId="0" fontId="41" fillId="0" borderId="0" xfId="2" quotePrefix="1" applyFont="1" applyBorder="1" applyAlignment="1" applyProtection="1">
      <alignment horizontal="left" vertical="top" wrapText="1"/>
    </xf>
    <xf numFmtId="0" fontId="41" fillId="0" borderId="6" xfId="2" quotePrefix="1" applyFont="1" applyBorder="1" applyAlignment="1" applyProtection="1">
      <alignment horizontal="left" vertical="top" wrapText="1"/>
    </xf>
    <xf numFmtId="0" fontId="46" fillId="14" borderId="25" xfId="3" applyFont="1" applyFill="1" applyBorder="1" applyAlignment="1" applyProtection="1">
      <alignment horizontal="center" vertical="center" wrapText="1"/>
    </xf>
    <xf numFmtId="0" fontId="46" fillId="14" borderId="26" xfId="3" applyFont="1" applyFill="1" applyBorder="1" applyAlignment="1" applyProtection="1">
      <alignment horizontal="center" vertical="center" wrapText="1"/>
    </xf>
    <xf numFmtId="0" fontId="46" fillId="14" borderId="27" xfId="2" applyFont="1" applyFill="1" applyBorder="1" applyAlignment="1" applyProtection="1">
      <alignment horizontal="center" vertical="center"/>
    </xf>
    <xf numFmtId="0" fontId="46" fillId="14" borderId="28" xfId="2" applyFont="1" applyFill="1" applyBorder="1" applyAlignment="1" applyProtection="1">
      <alignment horizontal="center" vertical="center"/>
    </xf>
    <xf numFmtId="0" fontId="2" fillId="3" borderId="39" xfId="2" quotePrefix="1" applyFont="1" applyFill="1" applyBorder="1" applyAlignment="1" applyProtection="1">
      <alignment horizontal="justify" vertical="center" wrapText="1"/>
    </xf>
    <xf numFmtId="0" fontId="2" fillId="3" borderId="40" xfId="2" quotePrefix="1" applyFont="1" applyFill="1" applyBorder="1" applyAlignment="1" applyProtection="1">
      <alignment horizontal="justify" vertical="center" wrapText="1"/>
    </xf>
    <xf numFmtId="0" fontId="2" fillId="3" borderId="41" xfId="2" quotePrefix="1" applyFont="1" applyFill="1" applyBorder="1" applyAlignment="1" applyProtection="1">
      <alignment horizontal="justify" vertical="center" wrapText="1"/>
    </xf>
    <xf numFmtId="0" fontId="4" fillId="2" borderId="47" xfId="0" applyFont="1" applyFill="1" applyBorder="1" applyAlignment="1">
      <alignment horizontal="center" vertical="center" textRotation="90" wrapText="1"/>
    </xf>
    <xf numFmtId="0" fontId="4" fillId="2" borderId="49" xfId="0" applyFont="1" applyFill="1" applyBorder="1" applyAlignment="1">
      <alignment horizontal="center" vertical="center" textRotation="90" wrapText="1"/>
    </xf>
    <xf numFmtId="0" fontId="4" fillId="2" borderId="47"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1" fillId="0" borderId="47" xfId="0" applyFont="1" applyBorder="1" applyAlignment="1" applyProtection="1">
      <alignment horizontal="center" vertical="top"/>
      <protection locked="0"/>
    </xf>
    <xf numFmtId="0" fontId="1" fillId="0" borderId="49" xfId="0" applyFont="1" applyBorder="1" applyAlignment="1" applyProtection="1">
      <alignment horizontal="center" vertical="top"/>
      <protection locked="0"/>
    </xf>
    <xf numFmtId="0" fontId="4" fillId="0" borderId="47" xfId="0" applyFont="1" applyBorder="1" applyAlignment="1" applyProtection="1">
      <alignment horizontal="center" vertical="top" textRotation="90"/>
      <protection hidden="1"/>
    </xf>
    <xf numFmtId="0" fontId="4" fillId="0" borderId="49" xfId="0" applyFont="1" applyBorder="1" applyAlignment="1" applyProtection="1">
      <alignment horizontal="center" vertical="top" textRotation="90"/>
      <protection hidden="1"/>
    </xf>
    <xf numFmtId="0" fontId="1" fillId="0" borderId="47" xfId="0" applyFont="1" applyBorder="1" applyAlignment="1" applyProtection="1">
      <alignment horizontal="center" vertical="top" textRotation="90"/>
      <protection locked="0"/>
    </xf>
    <xf numFmtId="0" fontId="1" fillId="0" borderId="49" xfId="0" applyFont="1" applyBorder="1" applyAlignment="1" applyProtection="1">
      <alignment horizontal="center" vertical="top" textRotation="90"/>
      <protection locked="0"/>
    </xf>
    <xf numFmtId="0" fontId="1" fillId="0" borderId="47" xfId="0" applyFont="1" applyBorder="1" applyAlignment="1" applyProtection="1">
      <alignment horizontal="center" vertical="center" wrapText="1"/>
      <protection locked="0"/>
    </xf>
    <xf numFmtId="0" fontId="1" fillId="0" borderId="49" xfId="0" applyFont="1" applyBorder="1" applyAlignment="1" applyProtection="1">
      <alignment horizontal="center" vertical="center" wrapText="1"/>
      <protection locked="0"/>
    </xf>
    <xf numFmtId="14" fontId="1" fillId="0" borderId="47" xfId="0" applyNumberFormat="1" applyFont="1" applyBorder="1" applyAlignment="1" applyProtection="1">
      <alignment horizontal="center" vertical="center"/>
      <protection locked="0"/>
    </xf>
    <xf numFmtId="14" fontId="1" fillId="0" borderId="49" xfId="0" applyNumberFormat="1" applyFont="1" applyBorder="1" applyAlignment="1" applyProtection="1">
      <alignment horizontal="center" vertical="center"/>
      <protection locked="0"/>
    </xf>
    <xf numFmtId="164" fontId="1" fillId="0" borderId="47" xfId="1" applyNumberFormat="1" applyFont="1" applyBorder="1" applyAlignment="1">
      <alignment horizontal="center" vertical="top"/>
    </xf>
    <xf numFmtId="164" fontId="1" fillId="0" borderId="49" xfId="1" applyNumberFormat="1" applyFont="1" applyBorder="1" applyAlignment="1">
      <alignment horizontal="center" vertical="top"/>
    </xf>
    <xf numFmtId="0" fontId="4" fillId="0" borderId="47" xfId="0" applyFont="1" applyFill="1" applyBorder="1" applyAlignment="1" applyProtection="1">
      <alignment horizontal="center" vertical="top" textRotation="90" wrapText="1"/>
      <protection hidden="1"/>
    </xf>
    <xf numFmtId="0" fontId="4" fillId="0" borderId="49" xfId="0" applyFont="1" applyFill="1" applyBorder="1" applyAlignment="1" applyProtection="1">
      <alignment horizontal="center" vertical="top" textRotation="90" wrapText="1"/>
      <protection hidden="1"/>
    </xf>
    <xf numFmtId="9" fontId="1" fillId="0" borderId="47" xfId="0" applyNumberFormat="1" applyFont="1" applyBorder="1" applyAlignment="1" applyProtection="1">
      <alignment horizontal="center" vertical="top"/>
      <protection hidden="1"/>
    </xf>
    <xf numFmtId="9" fontId="1" fillId="0" borderId="49" xfId="0" applyNumberFormat="1" applyFont="1" applyBorder="1" applyAlignment="1" applyProtection="1">
      <alignment horizontal="center" vertical="top"/>
      <protection hidden="1"/>
    </xf>
    <xf numFmtId="0" fontId="1" fillId="0" borderId="59" xfId="0" applyFont="1" applyBorder="1" applyAlignment="1" applyProtection="1">
      <alignment horizontal="center" vertical="center" wrapText="1"/>
      <protection locked="0"/>
    </xf>
    <xf numFmtId="0" fontId="25" fillId="2" borderId="46" xfId="0" applyFont="1" applyFill="1" applyBorder="1" applyAlignment="1">
      <alignment horizontal="center" vertical="center"/>
    </xf>
    <xf numFmtId="0" fontId="4" fillId="2" borderId="46" xfId="0" applyFont="1" applyFill="1" applyBorder="1" applyAlignment="1">
      <alignment horizontal="center" vertical="center"/>
    </xf>
    <xf numFmtId="0" fontId="26" fillId="2" borderId="46" xfId="0" applyFont="1" applyFill="1" applyBorder="1" applyAlignment="1">
      <alignment horizontal="center" vertical="center" textRotation="90"/>
    </xf>
    <xf numFmtId="0" fontId="4" fillId="2" borderId="46" xfId="0" applyFont="1" applyFill="1" applyBorder="1" applyAlignment="1">
      <alignment horizontal="center" vertical="center" wrapText="1"/>
    </xf>
    <xf numFmtId="0" fontId="4" fillId="2" borderId="68" xfId="0" applyFont="1" applyFill="1" applyBorder="1" applyAlignment="1">
      <alignment horizontal="center" vertical="center" wrapText="1"/>
    </xf>
    <xf numFmtId="0" fontId="4" fillId="2" borderId="70"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47" xfId="0" applyFont="1" applyFill="1" applyBorder="1" applyAlignment="1">
      <alignment horizontal="center" vertical="center"/>
    </xf>
    <xf numFmtId="0" fontId="4" fillId="2" borderId="49" xfId="0" applyFont="1" applyFill="1" applyBorder="1" applyAlignment="1">
      <alignment horizontal="center" vertical="center"/>
    </xf>
    <xf numFmtId="0" fontId="1" fillId="0" borderId="47"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58" xfId="0" applyFont="1" applyBorder="1" applyAlignment="1" applyProtection="1">
      <alignment horizontal="center" vertical="center" wrapText="1"/>
      <protection locked="0"/>
    </xf>
    <xf numFmtId="0" fontId="1" fillId="0" borderId="58" xfId="0" applyFont="1" applyBorder="1" applyAlignment="1" applyProtection="1">
      <alignment horizontal="center" vertical="top" textRotation="90"/>
      <protection locked="0"/>
    </xf>
    <xf numFmtId="0" fontId="1" fillId="0" borderId="49" xfId="0" applyFont="1" applyFill="1" applyBorder="1" applyAlignment="1" applyProtection="1">
      <alignment horizontal="center" vertical="top" wrapText="1"/>
      <protection locked="0"/>
    </xf>
    <xf numFmtId="0" fontId="1" fillId="0" borderId="47" xfId="0" applyFont="1" applyBorder="1" applyAlignment="1" applyProtection="1">
      <alignment horizontal="center" vertical="center"/>
      <protection hidden="1"/>
    </xf>
    <xf numFmtId="0" fontId="1" fillId="0" borderId="49" xfId="0" applyFont="1" applyBorder="1" applyAlignment="1" applyProtection="1">
      <alignment horizontal="center" vertical="center"/>
      <protection hidden="1"/>
    </xf>
    <xf numFmtId="0" fontId="1" fillId="0" borderId="62" xfId="0" applyFont="1" applyBorder="1" applyAlignment="1" applyProtection="1">
      <alignment horizontal="center" vertical="top" textRotation="90"/>
      <protection locked="0"/>
    </xf>
    <xf numFmtId="0" fontId="1" fillId="0" borderId="0" xfId="0" applyFont="1" applyBorder="1" applyAlignment="1" applyProtection="1">
      <alignment horizontal="center" vertical="top" textRotation="90"/>
      <protection locked="0"/>
    </xf>
    <xf numFmtId="0" fontId="1" fillId="0" borderId="63" xfId="0" applyFont="1" applyBorder="1" applyAlignment="1" applyProtection="1">
      <alignment horizontal="center" vertical="top" textRotation="90"/>
      <protection locked="0"/>
    </xf>
    <xf numFmtId="0" fontId="2" fillId="0" borderId="59" xfId="0" applyFont="1" applyBorder="1" applyAlignment="1" applyProtection="1">
      <alignment horizontal="center" vertical="center" wrapText="1"/>
      <protection locked="0"/>
    </xf>
    <xf numFmtId="0" fontId="1" fillId="0" borderId="47" xfId="0" applyFont="1" applyBorder="1" applyAlignment="1">
      <alignment horizontal="center" vertical="center"/>
    </xf>
    <xf numFmtId="0" fontId="1" fillId="0" borderId="49" xfId="0" applyFont="1" applyBorder="1" applyAlignment="1">
      <alignment horizontal="center" vertical="center"/>
    </xf>
    <xf numFmtId="0" fontId="1" fillId="0" borderId="6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59" xfId="0" applyFont="1" applyBorder="1" applyAlignment="1" applyProtection="1">
      <alignment horizontal="center" vertical="center"/>
    </xf>
    <xf numFmtId="0" fontId="18" fillId="10" borderId="0" xfId="0" applyFont="1" applyFill="1" applyAlignment="1">
      <alignment horizontal="center" vertical="center" textRotation="90" wrapText="1" readingOrder="1"/>
    </xf>
    <xf numFmtId="0" fontId="18" fillId="10" borderId="6" xfId="0" applyFont="1" applyFill="1" applyBorder="1" applyAlignment="1">
      <alignment horizontal="center" vertical="center" textRotation="90" wrapText="1" readingOrder="1"/>
    </xf>
    <xf numFmtId="0" fontId="21" fillId="12" borderId="11" xfId="0" applyFont="1" applyFill="1" applyBorder="1" applyAlignment="1">
      <alignment horizontal="center" vertical="center" wrapText="1" readingOrder="1"/>
    </xf>
    <xf numFmtId="0" fontId="21" fillId="12" borderId="12" xfId="0" applyFont="1" applyFill="1" applyBorder="1" applyAlignment="1">
      <alignment horizontal="center" vertical="center" wrapText="1" readingOrder="1"/>
    </xf>
    <xf numFmtId="0" fontId="21" fillId="12" borderId="13" xfId="0" applyFont="1" applyFill="1" applyBorder="1" applyAlignment="1">
      <alignment horizontal="center" vertical="center" wrapText="1" readingOrder="1"/>
    </xf>
    <xf numFmtId="0" fontId="21" fillId="12" borderId="14" xfId="0" applyFont="1" applyFill="1" applyBorder="1" applyAlignment="1">
      <alignment horizontal="center" vertical="center" wrapText="1" readingOrder="1"/>
    </xf>
    <xf numFmtId="0" fontId="21" fillId="12" borderId="0" xfId="0" applyFont="1" applyFill="1" applyBorder="1" applyAlignment="1">
      <alignment horizontal="center" vertical="center" wrapText="1" readingOrder="1"/>
    </xf>
    <xf numFmtId="0" fontId="21" fillId="12" borderId="15" xfId="0" applyFont="1" applyFill="1" applyBorder="1" applyAlignment="1">
      <alignment horizontal="center" vertical="center" wrapText="1" readingOrder="1"/>
    </xf>
    <xf numFmtId="0" fontId="21" fillId="12" borderId="16" xfId="0" applyFont="1" applyFill="1" applyBorder="1" applyAlignment="1">
      <alignment horizontal="center" vertical="center" wrapText="1" readingOrder="1"/>
    </xf>
    <xf numFmtId="0" fontId="21" fillId="12" borderId="17" xfId="0" applyFont="1" applyFill="1" applyBorder="1" applyAlignment="1">
      <alignment horizontal="center" vertical="center" wrapText="1" readingOrder="1"/>
    </xf>
    <xf numFmtId="0" fontId="21" fillId="12" borderId="18" xfId="0" applyFont="1" applyFill="1" applyBorder="1" applyAlignment="1">
      <alignment horizontal="center" vertical="center" wrapText="1" readingOrder="1"/>
    </xf>
    <xf numFmtId="0" fontId="21" fillId="11" borderId="11" xfId="0" applyFont="1" applyFill="1" applyBorder="1" applyAlignment="1">
      <alignment horizontal="center" vertical="center" wrapText="1" readingOrder="1"/>
    </xf>
    <xf numFmtId="0" fontId="21" fillId="11" borderId="12" xfId="0" applyFont="1" applyFill="1" applyBorder="1" applyAlignment="1">
      <alignment horizontal="center" vertical="center" wrapText="1" readingOrder="1"/>
    </xf>
    <xf numFmtId="0" fontId="21" fillId="11" borderId="13" xfId="0" applyFont="1" applyFill="1" applyBorder="1" applyAlignment="1">
      <alignment horizontal="center" vertical="center" wrapText="1" readingOrder="1"/>
    </xf>
    <xf numFmtId="0" fontId="21" fillId="11" borderId="14" xfId="0" applyFont="1" applyFill="1" applyBorder="1" applyAlignment="1">
      <alignment horizontal="center" vertical="center" wrapText="1" readingOrder="1"/>
    </xf>
    <xf numFmtId="0" fontId="21" fillId="11" borderId="0" xfId="0" applyFont="1" applyFill="1" applyBorder="1" applyAlignment="1">
      <alignment horizontal="center" vertical="center" wrapText="1" readingOrder="1"/>
    </xf>
    <xf numFmtId="0" fontId="21" fillId="11" borderId="15" xfId="0" applyFont="1" applyFill="1" applyBorder="1" applyAlignment="1">
      <alignment horizontal="center" vertical="center" wrapText="1" readingOrder="1"/>
    </xf>
    <xf numFmtId="0" fontId="21" fillId="11" borderId="16" xfId="0" applyFont="1" applyFill="1" applyBorder="1" applyAlignment="1">
      <alignment horizontal="center" vertical="center" wrapText="1" readingOrder="1"/>
    </xf>
    <xf numFmtId="0" fontId="21" fillId="11" borderId="17" xfId="0" applyFont="1" applyFill="1" applyBorder="1" applyAlignment="1">
      <alignment horizontal="center" vertical="center" wrapText="1" readingOrder="1"/>
    </xf>
    <xf numFmtId="0" fontId="21" fillId="11" borderId="18" xfId="0" applyFont="1" applyFill="1" applyBorder="1" applyAlignment="1">
      <alignment horizontal="center" vertical="center" wrapText="1" readingOrder="1"/>
    </xf>
    <xf numFmtId="0" fontId="21" fillId="13" borderId="11" xfId="0" applyFont="1" applyFill="1" applyBorder="1" applyAlignment="1">
      <alignment horizontal="center" vertical="center" wrapText="1" readingOrder="1"/>
    </xf>
    <xf numFmtId="0" fontId="21" fillId="13" borderId="12" xfId="0" applyFont="1" applyFill="1" applyBorder="1" applyAlignment="1">
      <alignment horizontal="center" vertical="center" wrapText="1" readingOrder="1"/>
    </xf>
    <xf numFmtId="0" fontId="21" fillId="13" borderId="13" xfId="0" applyFont="1" applyFill="1" applyBorder="1" applyAlignment="1">
      <alignment horizontal="center" vertical="center" wrapText="1" readingOrder="1"/>
    </xf>
    <xf numFmtId="0" fontId="21" fillId="13" borderId="14" xfId="0" applyFont="1" applyFill="1" applyBorder="1" applyAlignment="1">
      <alignment horizontal="center" vertical="center" wrapText="1" readingOrder="1"/>
    </xf>
    <xf numFmtId="0" fontId="21" fillId="13" borderId="0" xfId="0" applyFont="1" applyFill="1" applyBorder="1" applyAlignment="1">
      <alignment horizontal="center" vertical="center" wrapText="1" readingOrder="1"/>
    </xf>
    <xf numFmtId="0" fontId="21" fillId="13" borderId="15" xfId="0" applyFont="1" applyFill="1" applyBorder="1" applyAlignment="1">
      <alignment horizontal="center" vertical="center" wrapText="1" readingOrder="1"/>
    </xf>
    <xf numFmtId="0" fontId="21" fillId="13" borderId="16" xfId="0" applyFont="1" applyFill="1" applyBorder="1" applyAlignment="1">
      <alignment horizontal="center" vertical="center" wrapText="1" readingOrder="1"/>
    </xf>
    <xf numFmtId="0" fontId="21" fillId="13" borderId="17" xfId="0" applyFont="1" applyFill="1" applyBorder="1" applyAlignment="1">
      <alignment horizontal="center" vertical="center" wrapText="1" readingOrder="1"/>
    </xf>
    <xf numFmtId="0" fontId="21" fillId="13" borderId="18" xfId="0" applyFont="1" applyFill="1" applyBorder="1" applyAlignment="1">
      <alignment horizontal="center" vertical="center" wrapText="1" readingOrder="1"/>
    </xf>
    <xf numFmtId="0" fontId="21" fillId="5" borderId="11" xfId="0" applyFont="1" applyFill="1" applyBorder="1" applyAlignment="1">
      <alignment horizontal="center" vertical="center" wrapText="1" readingOrder="1"/>
    </xf>
    <xf numFmtId="0" fontId="21" fillId="5" borderId="12" xfId="0" applyFont="1" applyFill="1" applyBorder="1" applyAlignment="1">
      <alignment horizontal="center" vertical="center" wrapText="1" readingOrder="1"/>
    </xf>
    <xf numFmtId="0" fontId="21" fillId="5" borderId="13" xfId="0" applyFont="1" applyFill="1" applyBorder="1" applyAlignment="1">
      <alignment horizontal="center" vertical="center" wrapText="1" readingOrder="1"/>
    </xf>
    <xf numFmtId="0" fontId="21" fillId="5" borderId="14" xfId="0" applyFont="1" applyFill="1" applyBorder="1" applyAlignment="1">
      <alignment horizontal="center" vertical="center" wrapText="1" readingOrder="1"/>
    </xf>
    <xf numFmtId="0" fontId="21" fillId="5" borderId="0" xfId="0" applyFont="1" applyFill="1" applyBorder="1" applyAlignment="1">
      <alignment horizontal="center" vertical="center" wrapText="1" readingOrder="1"/>
    </xf>
    <xf numFmtId="0" fontId="21" fillId="5" borderId="15" xfId="0" applyFont="1" applyFill="1" applyBorder="1" applyAlignment="1">
      <alignment horizontal="center" vertical="center" wrapText="1" readingOrder="1"/>
    </xf>
    <xf numFmtId="0" fontId="21" fillId="5" borderId="16" xfId="0" applyFont="1" applyFill="1" applyBorder="1" applyAlignment="1">
      <alignment horizontal="center" vertical="center" wrapText="1" readingOrder="1"/>
    </xf>
    <xf numFmtId="0" fontId="21" fillId="5" borderId="17" xfId="0" applyFont="1" applyFill="1" applyBorder="1" applyAlignment="1">
      <alignment horizontal="center" vertical="center" wrapText="1" readingOrder="1"/>
    </xf>
    <xf numFmtId="0" fontId="21" fillId="5" borderId="18" xfId="0" applyFont="1" applyFill="1" applyBorder="1" applyAlignment="1">
      <alignment horizontal="center" vertical="center" wrapText="1" readingOrder="1"/>
    </xf>
    <xf numFmtId="0" fontId="17" fillId="0" borderId="3" xfId="0" applyFont="1" applyBorder="1" applyAlignment="1">
      <alignment horizontal="center" vertical="center" wrapText="1"/>
    </xf>
    <xf numFmtId="0" fontId="17" fillId="0" borderId="10"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lignment horizontal="center" vertical="center"/>
    </xf>
    <xf numFmtId="0" fontId="20" fillId="11" borderId="0" xfId="0" applyFont="1" applyFill="1" applyAlignment="1" applyProtection="1">
      <alignment horizontal="center" vertical="center" wrapText="1" readingOrder="1"/>
      <protection hidden="1"/>
    </xf>
    <xf numFmtId="0" fontId="20" fillId="11" borderId="6" xfId="0" applyFont="1" applyFill="1" applyBorder="1" applyAlignment="1" applyProtection="1">
      <alignment horizontal="center" vertical="center" wrapText="1" readingOrder="1"/>
      <protection hidden="1"/>
    </xf>
    <xf numFmtId="0" fontId="20" fillId="11" borderId="0" xfId="0" applyFont="1" applyFill="1" applyBorder="1" applyAlignment="1" applyProtection="1">
      <alignment horizontal="center" vertical="center" wrapText="1" readingOrder="1"/>
      <protection hidden="1"/>
    </xf>
    <xf numFmtId="0" fontId="20" fillId="11" borderId="3" xfId="0" applyFont="1" applyFill="1" applyBorder="1" applyAlignment="1" applyProtection="1">
      <alignment horizontal="center" vertical="center" wrapText="1" readingOrder="1"/>
      <protection hidden="1"/>
    </xf>
    <xf numFmtId="0" fontId="20" fillId="11" borderId="10" xfId="0" applyFont="1" applyFill="1" applyBorder="1" applyAlignment="1" applyProtection="1">
      <alignment horizontal="center" vertical="center" wrapText="1" readingOrder="1"/>
      <protection hidden="1"/>
    </xf>
    <xf numFmtId="0" fontId="20" fillId="11" borderId="5" xfId="0" applyFont="1" applyFill="1" applyBorder="1" applyAlignment="1" applyProtection="1">
      <alignment horizontal="center" vertical="center" wrapText="1" readingOrder="1"/>
      <protection hidden="1"/>
    </xf>
    <xf numFmtId="0" fontId="20" fillId="11" borderId="4" xfId="0" applyFont="1" applyFill="1" applyBorder="1" applyAlignment="1" applyProtection="1">
      <alignment horizontal="center" vertical="center" wrapText="1" readingOrder="1"/>
      <protection hidden="1"/>
    </xf>
    <xf numFmtId="0" fontId="18" fillId="10" borderId="0" xfId="0" applyFont="1" applyFill="1" applyAlignment="1">
      <alignment horizontal="center" vertical="center" wrapText="1" readingOrder="1"/>
    </xf>
    <xf numFmtId="0" fontId="17" fillId="0" borderId="0" xfId="0" applyFont="1" applyBorder="1" applyAlignment="1">
      <alignment horizontal="center" vertical="center"/>
    </xf>
    <xf numFmtId="0" fontId="17" fillId="0" borderId="10" xfId="0" applyFont="1" applyBorder="1" applyAlignment="1">
      <alignment horizontal="center" vertical="center" wrapText="1"/>
    </xf>
    <xf numFmtId="0" fontId="20" fillId="11" borderId="7" xfId="0" applyFont="1" applyFill="1" applyBorder="1" applyAlignment="1" applyProtection="1">
      <alignment horizontal="center" vertical="center" wrapText="1" readingOrder="1"/>
      <protection hidden="1"/>
    </xf>
    <xf numFmtId="0" fontId="20" fillId="11" borderId="9" xfId="0" applyFont="1" applyFill="1" applyBorder="1" applyAlignment="1" applyProtection="1">
      <alignment horizontal="center" vertical="center" wrapText="1" readingOrder="1"/>
      <protection hidden="1"/>
    </xf>
    <xf numFmtId="0" fontId="20" fillId="11" borderId="8" xfId="0" applyFont="1" applyFill="1" applyBorder="1" applyAlignment="1" applyProtection="1">
      <alignment horizontal="center" vertical="center" wrapText="1" readingOrder="1"/>
      <protection hidden="1"/>
    </xf>
    <xf numFmtId="0" fontId="20" fillId="12" borderId="5" xfId="0" applyFont="1" applyFill="1" applyBorder="1" applyAlignment="1" applyProtection="1">
      <alignment horizontal="center" wrapText="1" readingOrder="1"/>
      <protection hidden="1"/>
    </xf>
    <xf numFmtId="0" fontId="20" fillId="12" borderId="0" xfId="0" applyFont="1" applyFill="1" applyBorder="1" applyAlignment="1" applyProtection="1">
      <alignment horizontal="center" wrapText="1" readingOrder="1"/>
      <protection hidden="1"/>
    </xf>
    <xf numFmtId="0" fontId="20" fillId="12" borderId="6" xfId="0" applyFont="1" applyFill="1" applyBorder="1" applyAlignment="1" applyProtection="1">
      <alignment horizontal="center" wrapText="1" readingOrder="1"/>
      <protection hidden="1"/>
    </xf>
    <xf numFmtId="0" fontId="20" fillId="12" borderId="7" xfId="0" applyFont="1" applyFill="1" applyBorder="1" applyAlignment="1" applyProtection="1">
      <alignment horizontal="center" wrapText="1" readingOrder="1"/>
      <protection hidden="1"/>
    </xf>
    <xf numFmtId="0" fontId="20" fillId="12" borderId="9" xfId="0" applyFont="1" applyFill="1" applyBorder="1" applyAlignment="1" applyProtection="1">
      <alignment horizontal="center" wrapText="1" readingOrder="1"/>
      <protection hidden="1"/>
    </xf>
    <xf numFmtId="0" fontId="20" fillId="12" borderId="8" xfId="0" applyFont="1" applyFill="1" applyBorder="1" applyAlignment="1" applyProtection="1">
      <alignment horizontal="center" wrapText="1" readingOrder="1"/>
      <protection hidden="1"/>
    </xf>
    <xf numFmtId="0" fontId="20" fillId="12" borderId="3" xfId="0" applyFont="1" applyFill="1" applyBorder="1" applyAlignment="1" applyProtection="1">
      <alignment horizontal="center" wrapText="1" readingOrder="1"/>
      <protection hidden="1"/>
    </xf>
    <xf numFmtId="0" fontId="20" fillId="12" borderId="10" xfId="0" applyFont="1" applyFill="1" applyBorder="1" applyAlignment="1" applyProtection="1">
      <alignment horizontal="center" wrapText="1" readingOrder="1"/>
      <protection hidden="1"/>
    </xf>
    <xf numFmtId="0" fontId="20" fillId="12" borderId="4" xfId="0" applyFont="1" applyFill="1" applyBorder="1" applyAlignment="1" applyProtection="1">
      <alignment horizontal="center" wrapText="1" readingOrder="1"/>
      <protection hidden="1"/>
    </xf>
    <xf numFmtId="0" fontId="20" fillId="13" borderId="5" xfId="0" applyFont="1" applyFill="1" applyBorder="1" applyAlignment="1" applyProtection="1">
      <alignment horizontal="center" wrapText="1" readingOrder="1"/>
      <protection hidden="1"/>
    </xf>
    <xf numFmtId="0" fontId="20" fillId="13" borderId="0" xfId="0" applyFont="1" applyFill="1" applyBorder="1" applyAlignment="1" applyProtection="1">
      <alignment horizontal="center" wrapText="1" readingOrder="1"/>
      <protection hidden="1"/>
    </xf>
    <xf numFmtId="0" fontId="20" fillId="13" borderId="6" xfId="0" applyFont="1" applyFill="1" applyBorder="1" applyAlignment="1" applyProtection="1">
      <alignment horizontal="center" wrapText="1" readingOrder="1"/>
      <protection hidden="1"/>
    </xf>
    <xf numFmtId="0" fontId="20" fillId="13" borderId="7" xfId="0" applyFont="1" applyFill="1" applyBorder="1" applyAlignment="1" applyProtection="1">
      <alignment horizontal="center" wrapText="1" readingOrder="1"/>
      <protection hidden="1"/>
    </xf>
    <xf numFmtId="0" fontId="20" fillId="13" borderId="9" xfId="0" applyFont="1" applyFill="1" applyBorder="1" applyAlignment="1" applyProtection="1">
      <alignment horizontal="center" wrapText="1" readingOrder="1"/>
      <protection hidden="1"/>
    </xf>
    <xf numFmtId="0" fontId="20" fillId="13" borderId="8" xfId="0" applyFont="1" applyFill="1" applyBorder="1" applyAlignment="1" applyProtection="1">
      <alignment horizontal="center" wrapText="1" readingOrder="1"/>
      <protection hidden="1"/>
    </xf>
    <xf numFmtId="0" fontId="20" fillId="13" borderId="3" xfId="0" applyFont="1" applyFill="1" applyBorder="1" applyAlignment="1" applyProtection="1">
      <alignment horizontal="center" wrapText="1" readingOrder="1"/>
      <protection hidden="1"/>
    </xf>
    <xf numFmtId="0" fontId="20" fillId="13" borderId="10" xfId="0" applyFont="1" applyFill="1" applyBorder="1" applyAlignment="1" applyProtection="1">
      <alignment horizontal="center" wrapText="1" readingOrder="1"/>
      <protection hidden="1"/>
    </xf>
    <xf numFmtId="0" fontId="20" fillId="13" borderId="4" xfId="0" applyFont="1" applyFill="1" applyBorder="1" applyAlignment="1" applyProtection="1">
      <alignment horizontal="center" wrapText="1" readingOrder="1"/>
      <protection hidden="1"/>
    </xf>
    <xf numFmtId="0" fontId="20" fillId="5" borderId="0" xfId="0" applyFont="1" applyFill="1" applyBorder="1" applyAlignment="1" applyProtection="1">
      <alignment horizontal="center" wrapText="1" readingOrder="1"/>
      <protection hidden="1"/>
    </xf>
    <xf numFmtId="0" fontId="20" fillId="5" borderId="6" xfId="0" applyFont="1" applyFill="1" applyBorder="1" applyAlignment="1" applyProtection="1">
      <alignment horizontal="center" wrapText="1" readingOrder="1"/>
      <protection hidden="1"/>
    </xf>
    <xf numFmtId="0" fontId="20" fillId="5" borderId="5" xfId="0" applyFont="1" applyFill="1" applyBorder="1" applyAlignment="1" applyProtection="1">
      <alignment horizontal="center" wrapText="1" readingOrder="1"/>
      <protection hidden="1"/>
    </xf>
    <xf numFmtId="0" fontId="20" fillId="5" borderId="7" xfId="0" applyFont="1" applyFill="1" applyBorder="1" applyAlignment="1" applyProtection="1">
      <alignment horizontal="center" wrapText="1" readingOrder="1"/>
      <protection hidden="1"/>
    </xf>
    <xf numFmtId="0" fontId="20" fillId="5" borderId="9" xfId="0" applyFont="1" applyFill="1" applyBorder="1" applyAlignment="1" applyProtection="1">
      <alignment horizontal="center" wrapText="1" readingOrder="1"/>
      <protection hidden="1"/>
    </xf>
    <xf numFmtId="0" fontId="20" fillId="5" borderId="8" xfId="0" applyFont="1" applyFill="1" applyBorder="1" applyAlignment="1" applyProtection="1">
      <alignment horizontal="center" wrapText="1" readingOrder="1"/>
      <protection hidden="1"/>
    </xf>
    <xf numFmtId="0" fontId="20" fillId="5" borderId="3" xfId="0" applyFont="1" applyFill="1" applyBorder="1" applyAlignment="1" applyProtection="1">
      <alignment horizontal="center" wrapText="1" readingOrder="1"/>
      <protection hidden="1"/>
    </xf>
    <xf numFmtId="0" fontId="20" fillId="5" borderId="10" xfId="0" applyFont="1" applyFill="1" applyBorder="1" applyAlignment="1" applyProtection="1">
      <alignment horizontal="center" wrapText="1" readingOrder="1"/>
      <protection hidden="1"/>
    </xf>
    <xf numFmtId="0" fontId="20" fillId="5" borderId="4" xfId="0" applyFont="1" applyFill="1" applyBorder="1" applyAlignment="1" applyProtection="1">
      <alignment horizontal="center" wrapText="1" readingOrder="1"/>
      <protection hidden="1"/>
    </xf>
    <xf numFmtId="0" fontId="25" fillId="0" borderId="0" xfId="0" applyFont="1" applyAlignment="1">
      <alignment horizontal="center" vertical="center" wrapText="1"/>
    </xf>
    <xf numFmtId="0" fontId="36" fillId="11" borderId="11" xfId="0" applyFont="1" applyFill="1" applyBorder="1" applyAlignment="1">
      <alignment horizontal="center" vertical="center" wrapText="1" readingOrder="1"/>
    </xf>
    <xf numFmtId="0" fontId="36" fillId="11" borderId="12" xfId="0" applyFont="1" applyFill="1" applyBorder="1" applyAlignment="1">
      <alignment horizontal="center" vertical="center" wrapText="1" readingOrder="1"/>
    </xf>
    <xf numFmtId="0" fontId="36" fillId="11" borderId="13" xfId="0" applyFont="1" applyFill="1" applyBorder="1" applyAlignment="1">
      <alignment horizontal="center" vertical="center" wrapText="1" readingOrder="1"/>
    </xf>
    <xf numFmtId="0" fontId="36" fillId="11" borderId="14" xfId="0" applyFont="1" applyFill="1" applyBorder="1" applyAlignment="1">
      <alignment horizontal="center" vertical="center" wrapText="1" readingOrder="1"/>
    </xf>
    <xf numFmtId="0" fontId="36" fillId="11" borderId="0" xfId="0" applyFont="1" applyFill="1" applyBorder="1" applyAlignment="1">
      <alignment horizontal="center" vertical="center" wrapText="1" readingOrder="1"/>
    </xf>
    <xf numFmtId="0" fontId="36" fillId="11" borderId="15" xfId="0" applyFont="1" applyFill="1" applyBorder="1" applyAlignment="1">
      <alignment horizontal="center" vertical="center" wrapText="1" readingOrder="1"/>
    </xf>
    <xf numFmtId="0" fontId="36" fillId="11" borderId="16" xfId="0" applyFont="1" applyFill="1" applyBorder="1" applyAlignment="1">
      <alignment horizontal="center" vertical="center" wrapText="1" readingOrder="1"/>
    </xf>
    <xf numFmtId="0" fontId="36" fillId="11" borderId="17" xfId="0" applyFont="1" applyFill="1" applyBorder="1" applyAlignment="1">
      <alignment horizontal="center" vertical="center" wrapText="1" readingOrder="1"/>
    </xf>
    <xf numFmtId="0" fontId="36" fillId="11" borderId="18" xfId="0" applyFont="1" applyFill="1" applyBorder="1" applyAlignment="1">
      <alignment horizontal="center" vertical="center" wrapText="1" readingOrder="1"/>
    </xf>
    <xf numFmtId="0" fontId="37" fillId="0" borderId="3" xfId="0" applyFont="1" applyBorder="1" applyAlignment="1">
      <alignment horizontal="center" vertical="center" wrapText="1"/>
    </xf>
    <xf numFmtId="0" fontId="37" fillId="0" borderId="10" xfId="0" applyFont="1" applyBorder="1" applyAlignment="1">
      <alignment horizontal="center" vertical="center"/>
    </xf>
    <xf numFmtId="0" fontId="37" fillId="0" borderId="5" xfId="0" applyFont="1" applyBorder="1" applyAlignment="1">
      <alignment horizontal="center" vertical="center" wrapText="1"/>
    </xf>
    <xf numFmtId="0" fontId="37" fillId="0" borderId="0" xfId="0" applyFont="1" applyBorder="1" applyAlignment="1">
      <alignment horizontal="center" vertical="center"/>
    </xf>
    <xf numFmtId="0" fontId="37" fillId="0" borderId="5" xfId="0" applyFont="1" applyBorder="1" applyAlignment="1">
      <alignment horizontal="center" vertical="center"/>
    </xf>
    <xf numFmtId="0" fontId="37" fillId="0" borderId="0" xfId="0" applyFont="1" applyAlignment="1">
      <alignment horizontal="center" vertical="center"/>
    </xf>
    <xf numFmtId="0" fontId="37" fillId="0" borderId="7" xfId="0" applyFont="1" applyBorder="1" applyAlignment="1">
      <alignment horizontal="center" vertical="center"/>
    </xf>
    <xf numFmtId="0" fontId="37" fillId="0" borderId="9" xfId="0" applyFont="1" applyBorder="1" applyAlignment="1">
      <alignment horizontal="center" vertical="center"/>
    </xf>
    <xf numFmtId="0" fontId="36" fillId="12" borderId="11" xfId="0" applyFont="1" applyFill="1" applyBorder="1" applyAlignment="1">
      <alignment horizontal="center" vertical="center" wrapText="1" readingOrder="1"/>
    </xf>
    <xf numFmtId="0" fontId="36" fillId="12" borderId="12" xfId="0" applyFont="1" applyFill="1" applyBorder="1" applyAlignment="1">
      <alignment horizontal="center" vertical="center" wrapText="1" readingOrder="1"/>
    </xf>
    <xf numFmtId="0" fontId="36" fillId="12" borderId="13" xfId="0" applyFont="1" applyFill="1" applyBorder="1" applyAlignment="1">
      <alignment horizontal="center" vertical="center" wrapText="1" readingOrder="1"/>
    </xf>
    <xf numFmtId="0" fontId="36" fillId="12" borderId="14" xfId="0" applyFont="1" applyFill="1" applyBorder="1" applyAlignment="1">
      <alignment horizontal="center" vertical="center" wrapText="1" readingOrder="1"/>
    </xf>
    <xf numFmtId="0" fontId="36" fillId="12" borderId="0" xfId="0" applyFont="1" applyFill="1" applyBorder="1" applyAlignment="1">
      <alignment horizontal="center" vertical="center" wrapText="1" readingOrder="1"/>
    </xf>
    <xf numFmtId="0" fontId="36" fillId="12" borderId="15" xfId="0" applyFont="1" applyFill="1" applyBorder="1" applyAlignment="1">
      <alignment horizontal="center" vertical="center" wrapText="1" readingOrder="1"/>
    </xf>
    <xf numFmtId="0" fontId="36" fillId="12" borderId="16" xfId="0" applyFont="1" applyFill="1" applyBorder="1" applyAlignment="1">
      <alignment horizontal="center" vertical="center" wrapText="1" readingOrder="1"/>
    </xf>
    <xf numFmtId="0" fontId="36" fillId="12" borderId="17" xfId="0" applyFont="1" applyFill="1" applyBorder="1" applyAlignment="1">
      <alignment horizontal="center" vertical="center" wrapText="1" readingOrder="1"/>
    </xf>
    <xf numFmtId="0" fontId="36" fillId="12" borderId="18" xfId="0" applyFont="1" applyFill="1" applyBorder="1" applyAlignment="1">
      <alignment horizontal="center" vertical="center" wrapText="1" readingOrder="1"/>
    </xf>
    <xf numFmtId="0" fontId="35" fillId="0" borderId="0" xfId="0" applyFont="1" applyAlignment="1">
      <alignment horizontal="center" vertical="center" wrapText="1"/>
    </xf>
    <xf numFmtId="0" fontId="22" fillId="0" borderId="0" xfId="0" applyFont="1" applyAlignment="1">
      <alignment horizontal="center" vertical="center" wrapText="1"/>
    </xf>
    <xf numFmtId="0" fontId="37" fillId="0" borderId="4" xfId="0" applyFont="1" applyBorder="1" applyAlignment="1">
      <alignment horizontal="center" vertical="center"/>
    </xf>
    <xf numFmtId="0" fontId="37" fillId="0" borderId="6" xfId="0" applyFont="1" applyBorder="1" applyAlignment="1">
      <alignment horizontal="center" vertical="center"/>
    </xf>
    <xf numFmtId="0" fontId="37" fillId="0" borderId="8" xfId="0" applyFont="1" applyBorder="1" applyAlignment="1">
      <alignment horizontal="center" vertical="center"/>
    </xf>
    <xf numFmtId="0" fontId="36" fillId="5" borderId="11" xfId="0" applyFont="1" applyFill="1" applyBorder="1" applyAlignment="1">
      <alignment horizontal="center" vertical="center" wrapText="1" readingOrder="1"/>
    </xf>
    <xf numFmtId="0" fontId="36" fillId="5" borderId="12" xfId="0" applyFont="1" applyFill="1" applyBorder="1" applyAlignment="1">
      <alignment horizontal="center" vertical="center" wrapText="1" readingOrder="1"/>
    </xf>
    <xf numFmtId="0" fontId="36" fillId="5" borderId="13" xfId="0" applyFont="1" applyFill="1" applyBorder="1" applyAlignment="1">
      <alignment horizontal="center" vertical="center" wrapText="1" readingOrder="1"/>
    </xf>
    <xf numFmtId="0" fontId="36" fillId="5" borderId="14" xfId="0" applyFont="1" applyFill="1" applyBorder="1" applyAlignment="1">
      <alignment horizontal="center" vertical="center" wrapText="1" readingOrder="1"/>
    </xf>
    <xf numFmtId="0" fontId="36" fillId="5" borderId="0" xfId="0" applyFont="1" applyFill="1" applyBorder="1" applyAlignment="1">
      <alignment horizontal="center" vertical="center" wrapText="1" readingOrder="1"/>
    </xf>
    <xf numFmtId="0" fontId="36" fillId="5" borderId="15" xfId="0" applyFont="1" applyFill="1" applyBorder="1" applyAlignment="1">
      <alignment horizontal="center" vertical="center" wrapText="1" readingOrder="1"/>
    </xf>
    <xf numFmtId="0" fontId="36" fillId="5" borderId="16" xfId="0" applyFont="1" applyFill="1" applyBorder="1" applyAlignment="1">
      <alignment horizontal="center" vertical="center" wrapText="1" readingOrder="1"/>
    </xf>
    <xf numFmtId="0" fontId="36" fillId="5" borderId="17" xfId="0" applyFont="1" applyFill="1" applyBorder="1" applyAlignment="1">
      <alignment horizontal="center" vertical="center" wrapText="1" readingOrder="1"/>
    </xf>
    <xf numFmtId="0" fontId="36" fillId="5" borderId="18" xfId="0" applyFont="1" applyFill="1" applyBorder="1" applyAlignment="1">
      <alignment horizontal="center" vertical="center" wrapText="1" readingOrder="1"/>
    </xf>
    <xf numFmtId="0" fontId="36" fillId="13" borderId="11" xfId="0" applyFont="1" applyFill="1" applyBorder="1" applyAlignment="1">
      <alignment horizontal="center" vertical="center" wrapText="1" readingOrder="1"/>
    </xf>
    <xf numFmtId="0" fontId="36" fillId="13" borderId="12" xfId="0" applyFont="1" applyFill="1" applyBorder="1" applyAlignment="1">
      <alignment horizontal="center" vertical="center" wrapText="1" readingOrder="1"/>
    </xf>
    <xf numFmtId="0" fontId="36" fillId="13" borderId="13" xfId="0" applyFont="1" applyFill="1" applyBorder="1" applyAlignment="1">
      <alignment horizontal="center" vertical="center" wrapText="1" readingOrder="1"/>
    </xf>
    <xf numFmtId="0" fontId="36" fillId="13" borderId="14" xfId="0" applyFont="1" applyFill="1" applyBorder="1" applyAlignment="1">
      <alignment horizontal="center" vertical="center" wrapText="1" readingOrder="1"/>
    </xf>
    <xf numFmtId="0" fontId="36" fillId="13" borderId="0" xfId="0" applyFont="1" applyFill="1" applyBorder="1" applyAlignment="1">
      <alignment horizontal="center" vertical="center" wrapText="1" readingOrder="1"/>
    </xf>
    <xf numFmtId="0" fontId="36" fillId="13" borderId="15" xfId="0" applyFont="1" applyFill="1" applyBorder="1" applyAlignment="1">
      <alignment horizontal="center" vertical="center" wrapText="1" readingOrder="1"/>
    </xf>
    <xf numFmtId="0" fontId="36" fillId="13" borderId="16" xfId="0" applyFont="1" applyFill="1" applyBorder="1" applyAlignment="1">
      <alignment horizontal="center" vertical="center" wrapText="1" readingOrder="1"/>
    </xf>
    <xf numFmtId="0" fontId="36" fillId="13" borderId="17" xfId="0" applyFont="1" applyFill="1" applyBorder="1" applyAlignment="1">
      <alignment horizontal="center" vertical="center" wrapText="1" readingOrder="1"/>
    </xf>
    <xf numFmtId="0" fontId="36" fillId="13" borderId="18" xfId="0" applyFont="1" applyFill="1" applyBorder="1" applyAlignment="1">
      <alignment horizontal="center" vertical="center" wrapText="1" readingOrder="1"/>
    </xf>
    <xf numFmtId="0" fontId="37" fillId="0" borderId="10" xfId="0" applyFont="1" applyBorder="1" applyAlignment="1">
      <alignment horizontal="center" vertical="center" wrapText="1"/>
    </xf>
    <xf numFmtId="0" fontId="24" fillId="0" borderId="0" xfId="0" applyFont="1" applyAlignment="1">
      <alignment horizontal="center" vertical="center"/>
    </xf>
    <xf numFmtId="0" fontId="38" fillId="0" borderId="0" xfId="0" applyFont="1" applyAlignment="1">
      <alignment horizontal="center" vertical="center"/>
    </xf>
    <xf numFmtId="0" fontId="1" fillId="0" borderId="47" xfId="0" applyFont="1" applyFill="1" applyBorder="1" applyAlignment="1" applyProtection="1">
      <alignment horizontal="center" vertical="top" wrapText="1"/>
      <protection locked="0"/>
    </xf>
    <xf numFmtId="0" fontId="1" fillId="0" borderId="46" xfId="0" applyFont="1" applyFill="1" applyBorder="1" applyAlignment="1" applyProtection="1">
      <alignment horizontal="center" vertical="center" wrapText="1"/>
      <protection locked="0"/>
    </xf>
    <xf numFmtId="0" fontId="1" fillId="0" borderId="47" xfId="0" applyFont="1" applyFill="1" applyBorder="1" applyAlignment="1" applyProtection="1">
      <alignment horizontal="center" vertical="top" wrapText="1"/>
      <protection locked="0"/>
    </xf>
    <xf numFmtId="0" fontId="1" fillId="0" borderId="59" xfId="0" applyFont="1" applyFill="1" applyBorder="1" applyAlignment="1" applyProtection="1">
      <alignment horizontal="center" vertical="top" wrapText="1"/>
      <protection locked="0"/>
    </xf>
    <xf numFmtId="14" fontId="1" fillId="0" borderId="59" xfId="0" applyNumberFormat="1" applyFont="1" applyBorder="1" applyAlignment="1" applyProtection="1">
      <alignment horizontal="center" vertical="center"/>
      <protection locked="0"/>
    </xf>
    <xf numFmtId="14" fontId="1" fillId="0" borderId="46" xfId="0" applyNumberFormat="1" applyFont="1" applyFill="1" applyBorder="1" applyAlignment="1" applyProtection="1">
      <alignment horizontal="center" vertical="center"/>
      <protection locked="0"/>
    </xf>
    <xf numFmtId="14" fontId="1" fillId="0" borderId="47" xfId="0" applyNumberFormat="1" applyFont="1" applyFill="1" applyBorder="1" applyAlignment="1" applyProtection="1">
      <alignment horizontal="center" vertical="center" wrapText="1"/>
      <protection locked="0"/>
    </xf>
    <xf numFmtId="0" fontId="1" fillId="0" borderId="49" xfId="0" applyFont="1" applyFill="1" applyBorder="1" applyAlignment="1" applyProtection="1">
      <alignment horizontal="center" vertical="center" wrapText="1"/>
      <protection locked="0"/>
    </xf>
    <xf numFmtId="14" fontId="1" fillId="0" borderId="47" xfId="0" applyNumberFormat="1" applyFont="1" applyBorder="1" applyAlignment="1" applyProtection="1">
      <alignment horizontal="center" vertical="center" wrapText="1"/>
      <protection locked="0"/>
    </xf>
    <xf numFmtId="0" fontId="1" fillId="0" borderId="47" xfId="0" applyFont="1" applyBorder="1" applyAlignment="1" applyProtection="1">
      <alignment horizontal="center" vertical="center"/>
      <protection locked="0"/>
    </xf>
    <xf numFmtId="0" fontId="1" fillId="0" borderId="47" xfId="0" applyFont="1" applyBorder="1" applyAlignment="1" applyProtection="1">
      <alignment horizontal="center" vertical="center"/>
    </xf>
    <xf numFmtId="0" fontId="2" fillId="0" borderId="47" xfId="0" applyFont="1" applyBorder="1" applyAlignment="1" applyProtection="1">
      <alignment horizontal="center" vertical="center" wrapText="1"/>
      <protection locked="0"/>
    </xf>
    <xf numFmtId="0" fontId="1" fillId="0" borderId="46" xfId="0" applyFont="1" applyBorder="1" applyAlignment="1" applyProtection="1">
      <alignment vertical="center" wrapText="1"/>
      <protection locked="0"/>
    </xf>
    <xf numFmtId="0" fontId="1" fillId="0" borderId="46" xfId="0" applyFont="1" applyBorder="1" applyAlignment="1" applyProtection="1">
      <alignment vertical="center"/>
      <protection locked="0"/>
    </xf>
    <xf numFmtId="0" fontId="1" fillId="0" borderId="58" xfId="0" applyFont="1" applyBorder="1" applyAlignment="1" applyProtection="1">
      <alignment horizontal="center" vertical="center"/>
    </xf>
    <xf numFmtId="0" fontId="2" fillId="0" borderId="58" xfId="0" applyFont="1" applyBorder="1" applyAlignment="1" applyProtection="1">
      <alignment horizontal="center" vertical="center" wrapText="1"/>
      <protection locked="0"/>
    </xf>
    <xf numFmtId="0" fontId="1" fillId="0" borderId="49" xfId="0" applyFont="1" applyBorder="1" applyAlignment="1" applyProtection="1">
      <alignment horizontal="center" vertical="center"/>
    </xf>
    <xf numFmtId="0" fontId="2" fillId="0" borderId="49" xfId="0" applyFont="1" applyBorder="1" applyAlignment="1" applyProtection="1">
      <alignment horizontal="center" vertical="center" wrapText="1"/>
      <protection locked="0"/>
    </xf>
    <xf numFmtId="0" fontId="1" fillId="0" borderId="46" xfId="0" applyFont="1" applyBorder="1" applyAlignment="1" applyProtection="1">
      <alignment vertical="center"/>
    </xf>
    <xf numFmtId="0" fontId="2" fillId="0" borderId="46" xfId="0" applyFont="1" applyBorder="1" applyAlignment="1" applyProtection="1">
      <alignment vertical="center" wrapText="1"/>
      <protection locked="0"/>
    </xf>
    <xf numFmtId="0" fontId="1" fillId="16" borderId="46" xfId="0" applyFont="1" applyFill="1" applyBorder="1" applyAlignment="1" applyProtection="1">
      <alignment vertical="center" wrapText="1"/>
      <protection locked="0"/>
    </xf>
    <xf numFmtId="0" fontId="1" fillId="0" borderId="46" xfId="0" applyFont="1" applyFill="1" applyBorder="1" applyAlignment="1" applyProtection="1">
      <alignment vertical="center"/>
      <protection locked="0"/>
    </xf>
    <xf numFmtId="0" fontId="1" fillId="0" borderId="47" xfId="0" applyFont="1" applyFill="1" applyBorder="1" applyAlignment="1" applyProtection="1">
      <alignment vertical="center"/>
      <protection locked="0"/>
    </xf>
    <xf numFmtId="0" fontId="1" fillId="0" borderId="68" xfId="0" applyFont="1" applyBorder="1" applyAlignment="1" applyProtection="1">
      <alignment vertical="center" wrapText="1"/>
      <protection locked="0"/>
    </xf>
    <xf numFmtId="0" fontId="1" fillId="0" borderId="69" xfId="0" applyFont="1" applyBorder="1" applyAlignment="1" applyProtection="1">
      <alignment vertical="center"/>
      <protection locked="0"/>
    </xf>
    <xf numFmtId="0" fontId="1" fillId="0" borderId="47" xfId="0" applyFont="1" applyBorder="1" applyAlignment="1" applyProtection="1">
      <alignment horizontal="center" vertical="center"/>
    </xf>
    <xf numFmtId="0" fontId="2" fillId="0" borderId="47" xfId="0" applyFont="1" applyBorder="1" applyAlignment="1" applyProtection="1">
      <alignment horizontal="center" vertical="center" wrapText="1"/>
      <protection locked="0"/>
    </xf>
    <xf numFmtId="0" fontId="51" fillId="0" borderId="46" xfId="0" applyFont="1" applyBorder="1" applyAlignment="1" applyProtection="1">
      <alignment vertical="center" wrapText="1"/>
      <protection locked="0"/>
    </xf>
    <xf numFmtId="0" fontId="1" fillId="0" borderId="46" xfId="0" applyFont="1" applyBorder="1" applyAlignment="1" applyProtection="1">
      <alignment horizontal="left" vertical="center" wrapText="1"/>
      <protection locked="0"/>
    </xf>
    <xf numFmtId="0" fontId="1" fillId="0" borderId="46" xfId="0" applyFont="1" applyFill="1" applyBorder="1" applyAlignment="1" applyProtection="1">
      <alignment vertical="center" wrapText="1"/>
      <protection locked="0"/>
    </xf>
    <xf numFmtId="0" fontId="2" fillId="0" borderId="46" xfId="0" applyFont="1" applyFill="1" applyBorder="1" applyAlignment="1" applyProtection="1">
      <alignment vertical="center" wrapText="1"/>
      <protection locked="0"/>
    </xf>
    <xf numFmtId="0" fontId="1" fillId="0" borderId="46" xfId="0" applyFont="1" applyBorder="1" applyAlignment="1">
      <alignment vertical="center"/>
    </xf>
    <xf numFmtId="0" fontId="1" fillId="0" borderId="47" xfId="0" applyFont="1" applyBorder="1" applyAlignment="1" applyProtection="1">
      <alignment vertical="center"/>
      <protection locked="0"/>
    </xf>
    <xf numFmtId="0" fontId="1" fillId="0" borderId="47" xfId="0" applyFont="1" applyBorder="1" applyAlignment="1" applyProtection="1">
      <alignment vertical="center"/>
    </xf>
    <xf numFmtId="0" fontId="1" fillId="0" borderId="47" xfId="0" applyFont="1" applyBorder="1" applyAlignment="1" applyProtection="1">
      <alignment vertical="center" wrapText="1"/>
      <protection locked="0"/>
    </xf>
    <xf numFmtId="0" fontId="2" fillId="0" borderId="47" xfId="0" applyFont="1" applyBorder="1" applyAlignment="1" applyProtection="1">
      <alignment vertical="center" wrapText="1"/>
      <protection locked="0"/>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94">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99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antos/Downloads/Matriz.mapa.riesgos_2022_V5%20(6)%20EJECUCION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santos/Downloads/Matriz.mapa.riesgos_2022_V5%20JURIDICA%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santos/Downloads/Matriz.mapa.riesgos_2022_V5%20(6)licenci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V5 2022"/>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sheetData>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V5 2022"/>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sheetData>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V5 2022"/>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sheetData>
      <sheetData sheetId="6"/>
      <sheetData sheetId="7"/>
      <sheetData sheetId="8"/>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19" zoomScale="110" zoomScaleNormal="110" workbookViewId="0">
      <selection activeCell="E22" sqref="E22:F22"/>
    </sheetView>
  </sheetViews>
  <sheetFormatPr baseColWidth="10" defaultRowHeight="15" x14ac:dyDescent="0.25"/>
  <cols>
    <col min="1" max="1" width="2.85546875" style="77" customWidth="1"/>
    <col min="2" max="3" width="24.7109375" style="77" customWidth="1"/>
    <col min="4" max="4" width="16" style="77" customWidth="1"/>
    <col min="5" max="5" width="24.7109375" style="77" customWidth="1"/>
    <col min="6" max="6" width="27.7109375" style="77" customWidth="1"/>
    <col min="7" max="8" width="24.7109375" style="77" customWidth="1"/>
    <col min="9" max="16384" width="11.42578125" style="77"/>
  </cols>
  <sheetData>
    <row r="1" spans="2:8" ht="15.75" thickBot="1" x14ac:dyDescent="0.3"/>
    <row r="2" spans="2:8" ht="18" x14ac:dyDescent="0.25">
      <c r="B2" s="240" t="s">
        <v>140</v>
      </c>
      <c r="C2" s="241"/>
      <c r="D2" s="241"/>
      <c r="E2" s="241"/>
      <c r="F2" s="241"/>
      <c r="G2" s="241"/>
      <c r="H2" s="242"/>
    </row>
    <row r="3" spans="2:8" x14ac:dyDescent="0.25">
      <c r="B3" s="78"/>
      <c r="C3" s="79"/>
      <c r="D3" s="79"/>
      <c r="E3" s="79"/>
      <c r="F3" s="79"/>
      <c r="G3" s="79"/>
      <c r="H3" s="80"/>
    </row>
    <row r="4" spans="2:8" ht="63" customHeight="1" x14ac:dyDescent="0.25">
      <c r="B4" s="243" t="s">
        <v>183</v>
      </c>
      <c r="C4" s="244"/>
      <c r="D4" s="244"/>
      <c r="E4" s="244"/>
      <c r="F4" s="244"/>
      <c r="G4" s="244"/>
      <c r="H4" s="245"/>
    </row>
    <row r="5" spans="2:8" ht="63" customHeight="1" x14ac:dyDescent="0.25">
      <c r="B5" s="246"/>
      <c r="C5" s="247"/>
      <c r="D5" s="247"/>
      <c r="E5" s="247"/>
      <c r="F5" s="247"/>
      <c r="G5" s="247"/>
      <c r="H5" s="248"/>
    </row>
    <row r="6" spans="2:8" ht="16.5" x14ac:dyDescent="0.25">
      <c r="B6" s="249" t="s">
        <v>138</v>
      </c>
      <c r="C6" s="250"/>
      <c r="D6" s="250"/>
      <c r="E6" s="250"/>
      <c r="F6" s="250"/>
      <c r="G6" s="250"/>
      <c r="H6" s="251"/>
    </row>
    <row r="7" spans="2:8" ht="95.25" customHeight="1" x14ac:dyDescent="0.25">
      <c r="B7" s="259" t="s">
        <v>143</v>
      </c>
      <c r="C7" s="260"/>
      <c r="D7" s="260"/>
      <c r="E7" s="260"/>
      <c r="F7" s="260"/>
      <c r="G7" s="260"/>
      <c r="H7" s="261"/>
    </row>
    <row r="8" spans="2:8" ht="16.5" x14ac:dyDescent="0.25">
      <c r="B8" s="100"/>
      <c r="C8" s="101"/>
      <c r="D8" s="101"/>
      <c r="E8" s="101"/>
      <c r="F8" s="101"/>
      <c r="G8" s="101"/>
      <c r="H8" s="102"/>
    </row>
    <row r="9" spans="2:8" ht="16.5" customHeight="1" x14ac:dyDescent="0.25">
      <c r="B9" s="252" t="s">
        <v>176</v>
      </c>
      <c r="C9" s="253"/>
      <c r="D9" s="253"/>
      <c r="E9" s="253"/>
      <c r="F9" s="253"/>
      <c r="G9" s="253"/>
      <c r="H9" s="254"/>
    </row>
    <row r="10" spans="2:8" ht="44.25" customHeight="1" x14ac:dyDescent="0.25">
      <c r="B10" s="252"/>
      <c r="C10" s="253"/>
      <c r="D10" s="253"/>
      <c r="E10" s="253"/>
      <c r="F10" s="253"/>
      <c r="G10" s="253"/>
      <c r="H10" s="254"/>
    </row>
    <row r="11" spans="2:8" ht="15.75" thickBot="1" x14ac:dyDescent="0.3">
      <c r="B11" s="88"/>
      <c r="C11" s="91"/>
      <c r="D11" s="96"/>
      <c r="E11" s="97"/>
      <c r="F11" s="97"/>
      <c r="G11" s="98"/>
      <c r="H11" s="99"/>
    </row>
    <row r="12" spans="2:8" ht="15.75" thickTop="1" x14ac:dyDescent="0.25">
      <c r="B12" s="88"/>
      <c r="C12" s="255" t="s">
        <v>139</v>
      </c>
      <c r="D12" s="256"/>
      <c r="E12" s="257" t="s">
        <v>177</v>
      </c>
      <c r="F12" s="258"/>
      <c r="G12" s="91"/>
      <c r="H12" s="92"/>
    </row>
    <row r="13" spans="2:8" ht="35.25" customHeight="1" x14ac:dyDescent="0.25">
      <c r="B13" s="88"/>
      <c r="C13" s="227" t="s">
        <v>170</v>
      </c>
      <c r="D13" s="228"/>
      <c r="E13" s="229" t="s">
        <v>175</v>
      </c>
      <c r="F13" s="230"/>
      <c r="G13" s="91"/>
      <c r="H13" s="92"/>
    </row>
    <row r="14" spans="2:8" ht="17.25" customHeight="1" x14ac:dyDescent="0.25">
      <c r="B14" s="88"/>
      <c r="C14" s="227" t="s">
        <v>171</v>
      </c>
      <c r="D14" s="228"/>
      <c r="E14" s="229" t="s">
        <v>173</v>
      </c>
      <c r="F14" s="230"/>
      <c r="G14" s="91"/>
      <c r="H14" s="92"/>
    </row>
    <row r="15" spans="2:8" ht="19.5" customHeight="1" x14ac:dyDescent="0.25">
      <c r="B15" s="88"/>
      <c r="C15" s="227" t="s">
        <v>172</v>
      </c>
      <c r="D15" s="228"/>
      <c r="E15" s="229" t="s">
        <v>174</v>
      </c>
      <c r="F15" s="230"/>
      <c r="G15" s="91"/>
      <c r="H15" s="92"/>
    </row>
    <row r="16" spans="2:8" ht="69.75" customHeight="1" x14ac:dyDescent="0.25">
      <c r="B16" s="88"/>
      <c r="C16" s="227" t="s">
        <v>141</v>
      </c>
      <c r="D16" s="228"/>
      <c r="E16" s="229" t="s">
        <v>142</v>
      </c>
      <c r="F16" s="230"/>
      <c r="G16" s="91"/>
      <c r="H16" s="92"/>
    </row>
    <row r="17" spans="2:8" ht="34.5" customHeight="1" x14ac:dyDescent="0.25">
      <c r="B17" s="88"/>
      <c r="C17" s="231" t="s">
        <v>2</v>
      </c>
      <c r="D17" s="232"/>
      <c r="E17" s="223" t="s">
        <v>184</v>
      </c>
      <c r="F17" s="224"/>
      <c r="G17" s="91"/>
      <c r="H17" s="92"/>
    </row>
    <row r="18" spans="2:8" ht="27.75" customHeight="1" x14ac:dyDescent="0.25">
      <c r="B18" s="88"/>
      <c r="C18" s="231" t="s">
        <v>3</v>
      </c>
      <c r="D18" s="232"/>
      <c r="E18" s="223" t="s">
        <v>185</v>
      </c>
      <c r="F18" s="224"/>
      <c r="G18" s="91"/>
      <c r="H18" s="92"/>
    </row>
    <row r="19" spans="2:8" ht="28.5" customHeight="1" x14ac:dyDescent="0.25">
      <c r="B19" s="88"/>
      <c r="C19" s="231" t="s">
        <v>42</v>
      </c>
      <c r="D19" s="232"/>
      <c r="E19" s="223" t="s">
        <v>186</v>
      </c>
      <c r="F19" s="224"/>
      <c r="G19" s="91"/>
      <c r="H19" s="92"/>
    </row>
    <row r="20" spans="2:8" ht="72.75" customHeight="1" x14ac:dyDescent="0.25">
      <c r="B20" s="88"/>
      <c r="C20" s="231" t="s">
        <v>1</v>
      </c>
      <c r="D20" s="232"/>
      <c r="E20" s="223" t="s">
        <v>187</v>
      </c>
      <c r="F20" s="224"/>
      <c r="G20" s="91"/>
      <c r="H20" s="92"/>
    </row>
    <row r="21" spans="2:8" ht="64.5" customHeight="1" x14ac:dyDescent="0.25">
      <c r="B21" s="88"/>
      <c r="C21" s="231" t="s">
        <v>49</v>
      </c>
      <c r="D21" s="232"/>
      <c r="E21" s="223" t="s">
        <v>145</v>
      </c>
      <c r="F21" s="224"/>
      <c r="G21" s="91"/>
      <c r="H21" s="92"/>
    </row>
    <row r="22" spans="2:8" ht="71.25" customHeight="1" x14ac:dyDescent="0.25">
      <c r="B22" s="88"/>
      <c r="C22" s="231" t="s">
        <v>144</v>
      </c>
      <c r="D22" s="232"/>
      <c r="E22" s="223" t="s">
        <v>146</v>
      </c>
      <c r="F22" s="224"/>
      <c r="G22" s="91"/>
      <c r="H22" s="92"/>
    </row>
    <row r="23" spans="2:8" ht="55.5" customHeight="1" x14ac:dyDescent="0.25">
      <c r="B23" s="88"/>
      <c r="C23" s="225" t="s">
        <v>147</v>
      </c>
      <c r="D23" s="226"/>
      <c r="E23" s="223" t="s">
        <v>148</v>
      </c>
      <c r="F23" s="224"/>
      <c r="G23" s="91"/>
      <c r="H23" s="92"/>
    </row>
    <row r="24" spans="2:8" ht="42" customHeight="1" x14ac:dyDescent="0.25">
      <c r="B24" s="88"/>
      <c r="C24" s="225" t="s">
        <v>47</v>
      </c>
      <c r="D24" s="226"/>
      <c r="E24" s="223" t="s">
        <v>149</v>
      </c>
      <c r="F24" s="224"/>
      <c r="G24" s="91"/>
      <c r="H24" s="92"/>
    </row>
    <row r="25" spans="2:8" ht="59.25" customHeight="1" x14ac:dyDescent="0.25">
      <c r="B25" s="88"/>
      <c r="C25" s="225" t="s">
        <v>137</v>
      </c>
      <c r="D25" s="226"/>
      <c r="E25" s="223" t="s">
        <v>150</v>
      </c>
      <c r="F25" s="224"/>
      <c r="G25" s="91"/>
      <c r="H25" s="92"/>
    </row>
    <row r="26" spans="2:8" ht="23.25" customHeight="1" x14ac:dyDescent="0.25">
      <c r="B26" s="88"/>
      <c r="C26" s="225" t="s">
        <v>12</v>
      </c>
      <c r="D26" s="226"/>
      <c r="E26" s="223" t="s">
        <v>151</v>
      </c>
      <c r="F26" s="224"/>
      <c r="G26" s="91"/>
      <c r="H26" s="92"/>
    </row>
    <row r="27" spans="2:8" ht="30.75" customHeight="1" x14ac:dyDescent="0.25">
      <c r="B27" s="88"/>
      <c r="C27" s="225" t="s">
        <v>155</v>
      </c>
      <c r="D27" s="226"/>
      <c r="E27" s="223" t="s">
        <v>152</v>
      </c>
      <c r="F27" s="224"/>
      <c r="G27" s="91"/>
      <c r="H27" s="92"/>
    </row>
    <row r="28" spans="2:8" ht="35.25" customHeight="1" x14ac:dyDescent="0.25">
      <c r="B28" s="88"/>
      <c r="C28" s="225" t="s">
        <v>156</v>
      </c>
      <c r="D28" s="226"/>
      <c r="E28" s="223" t="s">
        <v>153</v>
      </c>
      <c r="F28" s="224"/>
      <c r="G28" s="91"/>
      <c r="H28" s="92"/>
    </row>
    <row r="29" spans="2:8" ht="33" customHeight="1" x14ac:dyDescent="0.25">
      <c r="B29" s="88"/>
      <c r="C29" s="225" t="s">
        <v>156</v>
      </c>
      <c r="D29" s="226"/>
      <c r="E29" s="223" t="s">
        <v>153</v>
      </c>
      <c r="F29" s="224"/>
      <c r="G29" s="91"/>
      <c r="H29" s="92"/>
    </row>
    <row r="30" spans="2:8" ht="30" customHeight="1" x14ac:dyDescent="0.25">
      <c r="B30" s="88"/>
      <c r="C30" s="225" t="s">
        <v>157</v>
      </c>
      <c r="D30" s="226"/>
      <c r="E30" s="223" t="s">
        <v>154</v>
      </c>
      <c r="F30" s="224"/>
      <c r="G30" s="91"/>
      <c r="H30" s="92"/>
    </row>
    <row r="31" spans="2:8" ht="35.25" customHeight="1" x14ac:dyDescent="0.25">
      <c r="B31" s="88"/>
      <c r="C31" s="225" t="s">
        <v>158</v>
      </c>
      <c r="D31" s="226"/>
      <c r="E31" s="223" t="s">
        <v>159</v>
      </c>
      <c r="F31" s="224"/>
      <c r="G31" s="91"/>
      <c r="H31" s="92"/>
    </row>
    <row r="32" spans="2:8" ht="31.5" customHeight="1" x14ac:dyDescent="0.25">
      <c r="B32" s="88"/>
      <c r="C32" s="225" t="s">
        <v>160</v>
      </c>
      <c r="D32" s="226"/>
      <c r="E32" s="223" t="s">
        <v>161</v>
      </c>
      <c r="F32" s="224"/>
      <c r="G32" s="91"/>
      <c r="H32" s="92"/>
    </row>
    <row r="33" spans="2:8" ht="35.25" customHeight="1" x14ac:dyDescent="0.25">
      <c r="B33" s="88"/>
      <c r="C33" s="225" t="s">
        <v>162</v>
      </c>
      <c r="D33" s="226"/>
      <c r="E33" s="223" t="s">
        <v>163</v>
      </c>
      <c r="F33" s="224"/>
      <c r="G33" s="91"/>
      <c r="H33" s="92"/>
    </row>
    <row r="34" spans="2:8" ht="59.25" customHeight="1" x14ac:dyDescent="0.25">
      <c r="B34" s="88"/>
      <c r="C34" s="225" t="s">
        <v>164</v>
      </c>
      <c r="D34" s="226"/>
      <c r="E34" s="223" t="s">
        <v>165</v>
      </c>
      <c r="F34" s="224"/>
      <c r="G34" s="91"/>
      <c r="H34" s="92"/>
    </row>
    <row r="35" spans="2:8" ht="29.25" customHeight="1" x14ac:dyDescent="0.25">
      <c r="B35" s="88"/>
      <c r="C35" s="225" t="s">
        <v>29</v>
      </c>
      <c r="D35" s="226"/>
      <c r="E35" s="223" t="s">
        <v>166</v>
      </c>
      <c r="F35" s="224"/>
      <c r="G35" s="91"/>
      <c r="H35" s="92"/>
    </row>
    <row r="36" spans="2:8" ht="82.5" customHeight="1" x14ac:dyDescent="0.25">
      <c r="B36" s="88"/>
      <c r="C36" s="225" t="s">
        <v>168</v>
      </c>
      <c r="D36" s="226"/>
      <c r="E36" s="223" t="s">
        <v>167</v>
      </c>
      <c r="F36" s="224"/>
      <c r="G36" s="91"/>
      <c r="H36" s="92"/>
    </row>
    <row r="37" spans="2:8" ht="46.5" customHeight="1" x14ac:dyDescent="0.25">
      <c r="B37" s="88"/>
      <c r="C37" s="225" t="s">
        <v>39</v>
      </c>
      <c r="D37" s="226"/>
      <c r="E37" s="223" t="s">
        <v>169</v>
      </c>
      <c r="F37" s="224"/>
      <c r="G37" s="91"/>
      <c r="H37" s="92"/>
    </row>
    <row r="38" spans="2:8" ht="6.75" customHeight="1" thickBot="1" x14ac:dyDescent="0.3">
      <c r="B38" s="88"/>
      <c r="C38" s="236"/>
      <c r="D38" s="237"/>
      <c r="E38" s="238"/>
      <c r="F38" s="239"/>
      <c r="G38" s="91"/>
      <c r="H38" s="92"/>
    </row>
    <row r="39" spans="2:8" ht="15.75" thickTop="1" x14ac:dyDescent="0.25">
      <c r="B39" s="88"/>
      <c r="C39" s="89"/>
      <c r="D39" s="89"/>
      <c r="E39" s="90"/>
      <c r="F39" s="90"/>
      <c r="G39" s="91"/>
      <c r="H39" s="92"/>
    </row>
    <row r="40" spans="2:8" ht="21" customHeight="1" x14ac:dyDescent="0.25">
      <c r="B40" s="233" t="s">
        <v>178</v>
      </c>
      <c r="C40" s="234"/>
      <c r="D40" s="234"/>
      <c r="E40" s="234"/>
      <c r="F40" s="234"/>
      <c r="G40" s="234"/>
      <c r="H40" s="235"/>
    </row>
    <row r="41" spans="2:8" ht="20.25" customHeight="1" x14ac:dyDescent="0.25">
      <c r="B41" s="233" t="s">
        <v>179</v>
      </c>
      <c r="C41" s="234"/>
      <c r="D41" s="234"/>
      <c r="E41" s="234"/>
      <c r="F41" s="234"/>
      <c r="G41" s="234"/>
      <c r="H41" s="235"/>
    </row>
    <row r="42" spans="2:8" ht="20.25" customHeight="1" x14ac:dyDescent="0.25">
      <c r="B42" s="233" t="s">
        <v>180</v>
      </c>
      <c r="C42" s="234"/>
      <c r="D42" s="234"/>
      <c r="E42" s="234"/>
      <c r="F42" s="234"/>
      <c r="G42" s="234"/>
      <c r="H42" s="235"/>
    </row>
    <row r="43" spans="2:8" ht="20.25" customHeight="1" x14ac:dyDescent="0.25">
      <c r="B43" s="233" t="s">
        <v>181</v>
      </c>
      <c r="C43" s="234"/>
      <c r="D43" s="234"/>
      <c r="E43" s="234"/>
      <c r="F43" s="234"/>
      <c r="G43" s="234"/>
      <c r="H43" s="235"/>
    </row>
    <row r="44" spans="2:8" x14ac:dyDescent="0.25">
      <c r="B44" s="233" t="s">
        <v>182</v>
      </c>
      <c r="C44" s="234"/>
      <c r="D44" s="234"/>
      <c r="E44" s="234"/>
      <c r="F44" s="234"/>
      <c r="G44" s="234"/>
      <c r="H44" s="235"/>
    </row>
    <row r="45" spans="2:8" ht="15.75" thickBot="1" x14ac:dyDescent="0.3">
      <c r="B45" s="93"/>
      <c r="C45" s="94"/>
      <c r="D45" s="94"/>
      <c r="E45" s="94"/>
      <c r="F45" s="94"/>
      <c r="G45" s="94"/>
      <c r="H45" s="95"/>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R70"/>
  <sheetViews>
    <sheetView tabSelected="1" zoomScale="60" zoomScaleNormal="60" zoomScaleSheetLayoutView="10" workbookViewId="0">
      <selection activeCell="G7" sqref="G7:G9"/>
    </sheetView>
  </sheetViews>
  <sheetFormatPr baseColWidth="10" defaultRowHeight="16.5" x14ac:dyDescent="0.3"/>
  <cols>
    <col min="1" max="1" width="30.5703125" style="1" customWidth="1"/>
    <col min="2" max="2" width="28.28515625" style="1" customWidth="1"/>
    <col min="3" max="3" width="4" style="2" bestFit="1" customWidth="1"/>
    <col min="4" max="4" width="16.5703125" style="2" customWidth="1"/>
    <col min="5" max="5" width="39.5703125" style="2" customWidth="1"/>
    <col min="6" max="6" width="35.7109375" style="2" customWidth="1"/>
    <col min="7" max="7" width="36.140625" style="1" customWidth="1"/>
    <col min="8" max="8" width="28.28515625" style="1" customWidth="1"/>
    <col min="9" max="9" width="17.85546875" style="1" customWidth="1"/>
    <col min="10" max="10" width="16.5703125" style="1" customWidth="1"/>
    <col min="11" max="11" width="6.28515625" style="1" hidden="1" customWidth="1"/>
    <col min="12" max="12" width="27.28515625" style="1" hidden="1" customWidth="1"/>
    <col min="13" max="13" width="30.5703125" style="1" hidden="1" customWidth="1"/>
    <col min="14" max="14" width="17.5703125" style="1" hidden="1" customWidth="1"/>
    <col min="15" max="15" width="6.28515625" style="1" hidden="1" customWidth="1"/>
    <col min="16" max="16" width="16" style="1" hidden="1" customWidth="1"/>
    <col min="17" max="17" width="23.42578125" style="1" hidden="1" customWidth="1"/>
    <col min="18" max="18" width="35.5703125" style="1" hidden="1" customWidth="1"/>
    <col min="19" max="19" width="15.140625" style="3" hidden="1" customWidth="1"/>
    <col min="20" max="20" width="6.85546875" style="1" hidden="1" customWidth="1"/>
    <col min="21" max="21" width="5" style="1" hidden="1" customWidth="1"/>
    <col min="22" max="22" width="5.5703125" style="1" hidden="1" customWidth="1"/>
    <col min="23" max="23" width="7.140625" style="1" hidden="1" customWidth="1"/>
    <col min="24" max="24" width="6.7109375" style="1" hidden="1" customWidth="1"/>
    <col min="25" max="25" width="7.5703125" style="1" hidden="1" customWidth="1"/>
    <col min="26" max="26" width="14.7109375" style="1" hidden="1" customWidth="1"/>
    <col min="27" max="27" width="8.7109375" style="1" hidden="1" customWidth="1"/>
    <col min="28" max="28" width="10.42578125" style="1" hidden="1" customWidth="1"/>
    <col min="29" max="29" width="9.28515625" style="1" hidden="1" customWidth="1"/>
    <col min="30" max="30" width="9.140625" style="1" hidden="1" customWidth="1"/>
    <col min="31" max="31" width="8.42578125" style="1" customWidth="1"/>
    <col min="32" max="32" width="7.140625" style="1" customWidth="1"/>
    <col min="33" max="33" width="70.140625" style="1" customWidth="1"/>
    <col min="34" max="34" width="18.85546875" style="1" customWidth="1"/>
    <col min="35" max="35" width="13.85546875" style="1" customWidth="1"/>
    <col min="36" max="36" width="17.85546875" style="1" customWidth="1"/>
    <col min="37" max="37" width="64" style="1" customWidth="1"/>
    <col min="38" max="38" width="21" style="1" customWidth="1"/>
    <col min="39" max="16384" width="11.42578125" style="1"/>
  </cols>
  <sheetData>
    <row r="1" spans="1:70" ht="16.5" customHeight="1" x14ac:dyDescent="0.3">
      <c r="A1" s="103"/>
      <c r="B1" s="103"/>
      <c r="C1" s="283" t="s">
        <v>120</v>
      </c>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83"/>
      <c r="AD1" s="283"/>
      <c r="AE1" s="283"/>
      <c r="AF1" s="283"/>
      <c r="AG1" s="283"/>
      <c r="AH1" s="283"/>
      <c r="AI1" s="283"/>
      <c r="AJ1" s="283"/>
      <c r="AK1" s="283"/>
      <c r="AL1" s="283"/>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row>
    <row r="2" spans="1:70" ht="24" customHeight="1" x14ac:dyDescent="0.3">
      <c r="A2" s="103"/>
      <c r="B2" s="103"/>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row>
    <row r="3" spans="1:70" x14ac:dyDescent="0.3">
      <c r="A3" s="103"/>
      <c r="B3" s="103"/>
      <c r="C3" s="118"/>
      <c r="D3" s="119"/>
      <c r="E3" s="118"/>
      <c r="F3" s="118"/>
      <c r="G3" s="120"/>
      <c r="H3" s="120"/>
      <c r="I3" s="120"/>
      <c r="J3" s="120"/>
      <c r="K3" s="120"/>
      <c r="L3" s="120"/>
      <c r="M3" s="120"/>
      <c r="N3" s="120"/>
      <c r="O3" s="120"/>
      <c r="P3" s="120"/>
      <c r="Q3" s="120"/>
      <c r="R3" s="120"/>
      <c r="S3" s="191"/>
      <c r="T3" s="120"/>
      <c r="U3" s="120"/>
      <c r="V3" s="120"/>
      <c r="W3" s="120"/>
      <c r="X3" s="120"/>
      <c r="Y3" s="120"/>
      <c r="Z3" s="120"/>
      <c r="AA3" s="120"/>
      <c r="AB3" s="120"/>
      <c r="AC3" s="120"/>
      <c r="AD3" s="120"/>
      <c r="AE3" s="120"/>
      <c r="AF3" s="120"/>
      <c r="AG3" s="120"/>
      <c r="AH3" s="120"/>
      <c r="AI3" s="120"/>
      <c r="AJ3" s="120"/>
      <c r="AK3" s="120"/>
      <c r="AL3" s="120"/>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row>
    <row r="4" spans="1:70" x14ac:dyDescent="0.3">
      <c r="A4" s="103"/>
      <c r="B4" s="103"/>
      <c r="C4" s="284" t="s">
        <v>116</v>
      </c>
      <c r="D4" s="284"/>
      <c r="E4" s="284"/>
      <c r="F4" s="284"/>
      <c r="G4" s="284"/>
      <c r="H4" s="284"/>
      <c r="I4" s="284"/>
      <c r="J4" s="284" t="s">
        <v>117</v>
      </c>
      <c r="K4" s="284"/>
      <c r="L4" s="284"/>
      <c r="M4" s="284"/>
      <c r="N4" s="284"/>
      <c r="O4" s="284"/>
      <c r="P4" s="284"/>
      <c r="Q4" s="284" t="s">
        <v>118</v>
      </c>
      <c r="R4" s="284"/>
      <c r="S4" s="284"/>
      <c r="T4" s="284"/>
      <c r="U4" s="284"/>
      <c r="V4" s="284"/>
      <c r="W4" s="284"/>
      <c r="X4" s="284"/>
      <c r="Y4" s="284"/>
      <c r="Z4" s="284" t="s">
        <v>119</v>
      </c>
      <c r="AA4" s="284"/>
      <c r="AB4" s="284"/>
      <c r="AC4" s="284"/>
      <c r="AD4" s="284"/>
      <c r="AE4" s="284"/>
      <c r="AF4" s="284"/>
      <c r="AG4" s="284" t="s">
        <v>34</v>
      </c>
      <c r="AH4" s="284"/>
      <c r="AI4" s="284"/>
      <c r="AJ4" s="284"/>
      <c r="AK4" s="284"/>
      <c r="AL4" s="284"/>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row>
    <row r="5" spans="1:70" ht="16.5" customHeight="1" x14ac:dyDescent="0.3">
      <c r="A5" s="103"/>
      <c r="B5" s="103"/>
      <c r="C5" s="285" t="s">
        <v>0</v>
      </c>
      <c r="D5" s="284" t="s">
        <v>2</v>
      </c>
      <c r="E5" s="286" t="s">
        <v>3</v>
      </c>
      <c r="F5" s="286" t="s">
        <v>42</v>
      </c>
      <c r="G5" s="284" t="s">
        <v>1</v>
      </c>
      <c r="H5" s="264" t="s">
        <v>49</v>
      </c>
      <c r="I5" s="264" t="s">
        <v>112</v>
      </c>
      <c r="J5" s="264" t="s">
        <v>33</v>
      </c>
      <c r="K5" s="290" t="s">
        <v>5</v>
      </c>
      <c r="L5" s="264" t="s">
        <v>71</v>
      </c>
      <c r="M5" s="264" t="s">
        <v>76</v>
      </c>
      <c r="N5" s="264" t="s">
        <v>44</v>
      </c>
      <c r="O5" s="290" t="s">
        <v>5</v>
      </c>
      <c r="P5" s="264" t="s">
        <v>47</v>
      </c>
      <c r="Q5" s="262" t="s">
        <v>11</v>
      </c>
      <c r="R5" s="264" t="s">
        <v>137</v>
      </c>
      <c r="S5" s="264" t="s">
        <v>12</v>
      </c>
      <c r="T5" s="287" t="s">
        <v>8</v>
      </c>
      <c r="U5" s="288"/>
      <c r="V5" s="288"/>
      <c r="W5" s="288"/>
      <c r="X5" s="288"/>
      <c r="Y5" s="289"/>
      <c r="Z5" s="262" t="s">
        <v>115</v>
      </c>
      <c r="AA5" s="262" t="s">
        <v>45</v>
      </c>
      <c r="AB5" s="262" t="s">
        <v>5</v>
      </c>
      <c r="AC5" s="262" t="s">
        <v>46</v>
      </c>
      <c r="AD5" s="262" t="s">
        <v>5</v>
      </c>
      <c r="AE5" s="262" t="s">
        <v>48</v>
      </c>
      <c r="AF5" s="262" t="s">
        <v>29</v>
      </c>
      <c r="AG5" s="264" t="s">
        <v>34</v>
      </c>
      <c r="AH5" s="264" t="s">
        <v>35</v>
      </c>
      <c r="AI5" s="264" t="s">
        <v>36</v>
      </c>
      <c r="AJ5" s="264" t="s">
        <v>38</v>
      </c>
      <c r="AK5" s="264" t="s">
        <v>37</v>
      </c>
      <c r="AL5" s="264" t="s">
        <v>39</v>
      </c>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row>
    <row r="6" spans="1:70" s="4" customFormat="1" ht="94.5" customHeight="1" x14ac:dyDescent="0.25">
      <c r="A6" s="104" t="s">
        <v>43</v>
      </c>
      <c r="B6" s="104" t="s">
        <v>189</v>
      </c>
      <c r="C6" s="285"/>
      <c r="D6" s="284"/>
      <c r="E6" s="286"/>
      <c r="F6" s="286"/>
      <c r="G6" s="284"/>
      <c r="H6" s="265"/>
      <c r="I6" s="265"/>
      <c r="J6" s="265"/>
      <c r="K6" s="291"/>
      <c r="L6" s="265"/>
      <c r="M6" s="265"/>
      <c r="N6" s="265"/>
      <c r="O6" s="291"/>
      <c r="P6" s="265"/>
      <c r="Q6" s="263"/>
      <c r="R6" s="265"/>
      <c r="S6" s="265"/>
      <c r="T6" s="121" t="s">
        <v>13</v>
      </c>
      <c r="U6" s="121" t="s">
        <v>17</v>
      </c>
      <c r="V6" s="121" t="s">
        <v>28</v>
      </c>
      <c r="W6" s="121" t="s">
        <v>18</v>
      </c>
      <c r="X6" s="121" t="s">
        <v>21</v>
      </c>
      <c r="Y6" s="121" t="s">
        <v>24</v>
      </c>
      <c r="Z6" s="263"/>
      <c r="AA6" s="263"/>
      <c r="AB6" s="263"/>
      <c r="AC6" s="263"/>
      <c r="AD6" s="263"/>
      <c r="AE6" s="263"/>
      <c r="AF6" s="263"/>
      <c r="AG6" s="265"/>
      <c r="AH6" s="265"/>
      <c r="AI6" s="265"/>
      <c r="AJ6" s="265"/>
      <c r="AK6" s="265"/>
      <c r="AL6" s="265"/>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row>
    <row r="7" spans="1:70" s="3" customFormat="1" ht="238.5" customHeight="1" x14ac:dyDescent="0.25">
      <c r="A7" s="292" t="s">
        <v>188</v>
      </c>
      <c r="B7" s="122" t="s">
        <v>190</v>
      </c>
      <c r="C7" s="460">
        <v>1</v>
      </c>
      <c r="D7" s="272" t="s">
        <v>110</v>
      </c>
      <c r="E7" s="272" t="s">
        <v>354</v>
      </c>
      <c r="F7" s="272" t="s">
        <v>400</v>
      </c>
      <c r="G7" s="461" t="s">
        <v>272</v>
      </c>
      <c r="H7" s="462" t="s">
        <v>102</v>
      </c>
      <c r="I7" s="463">
        <v>500</v>
      </c>
      <c r="J7" s="105" t="str">
        <f>IF(I7&lt;=0,"",IF(I7&lt;=2,"Muy Baja",IF(I7&lt;=24,"Baja",IF(I7&lt;=500,"Media",IF(I7&lt;=5000,"Alta","Muy Alta")))))</f>
        <v>Media</v>
      </c>
      <c r="K7" s="106">
        <f>IF(J7="","",IF(J7="Muy Baja",0.2,IF(J7="Baja",0.4,IF(J7="Media",0.6,IF(J7="Alta",0.8,IF(J7="Muy Alta",1,))))))</f>
        <v>0.6</v>
      </c>
      <c r="L7" s="107" t="s">
        <v>127</v>
      </c>
      <c r="M7" s="126" t="str">
        <f>IF(NOT(ISERROR(MATCH(L7,'Tabla Impacto'!$B$221:$B$223,0))),'Tabla Impacto'!$F$223&amp;"Por favor no seleccionar los criterios de impacto(Afectación Económica o presupuestal y Pérdida Reputacional)",L7)</f>
        <v xml:space="preserve">     Entre 100 y 500 SMLMV </v>
      </c>
      <c r="N7" s="105" t="str">
        <f>IF(OR(M7='Tabla Impacto'!$C$11,M7='Tabla Impacto'!$D$11),"Leve",IF(OR(M7='Tabla Impacto'!$C$12,M7='Tabla Impacto'!$D$12),"Menor",IF(OR(M7='Tabla Impacto'!$C$13,M7='Tabla Impacto'!$D$13),"Moderado",IF(OR(M7='Tabla Impacto'!$C$14,M7='Tabla Impacto'!$D$14),"Mayor",IF(OR(M7='Tabla Impacto'!$C$15,M7='Tabla Impacto'!$D$15),"Catastrófico","")))))</f>
        <v>Mayor</v>
      </c>
      <c r="O7" s="106">
        <f>IF(N7="","",IF(N7="Leve",0.2,IF(N7="Menor",0.4,IF(N7="Moderado",0.6,IF(N7="Mayor",0.8,IF(N7="Catastrófico",1,))))))</f>
        <v>0.8</v>
      </c>
      <c r="P7" s="108" t="str">
        <f>IF(OR(AND(J7="Muy Baja",N7="Leve"),AND(J7="Muy Baja",N7="Menor"),AND(J7="Baja",N7="Leve")),"Bajo",IF(OR(AND(J7="Muy baja",N7="Moderado"),AND(J7="Baja",N7="Menor"),AND(J7="Baja",N7="Moderado"),AND(J7="Media",N7="Leve"),AND(J7="Media",N7="Menor"),AND(J7="Media",N7="Moderado"),AND(J7="Alta",N7="Leve"),AND(J7="Alta",N7="Menor")),"Moderado",IF(OR(AND(J7="Muy Baja",N7="Mayor"),AND(J7="Baja",N7="Mayor"),AND(J7="Media",N7="Mayor"),AND(J7="Alta",N7="Moderado"),AND(J7="Alta",N7="Mayor"),AND(J7="Muy Alta",N7="Leve"),AND(J7="Muy Alta",N7="Menor"),AND(J7="Muy Alta",N7="Moderado"),AND(J7="Muy Alta",N7="Mayor")),"Alto",IF(OR(AND(J7="Muy Baja",N7="Catastrófico"),AND(J7="Baja",N7="Catastrófico"),AND(J7="Media",N7="Catastrófico"),AND(J7="Alta",N7="Catastrófico"),AND(J7="Muy Alta",N7="Catastrófico")),"Extremo",""))))</f>
        <v>Alto</v>
      </c>
      <c r="Q7" s="141">
        <v>1</v>
      </c>
      <c r="R7" s="142" t="s">
        <v>276</v>
      </c>
      <c r="S7" s="192" t="str">
        <f>IF(OR(T7="Preventivo",T7="Detectivo"),"Probabilidad",IF(T7="Correctivo","Impacto",""))</f>
        <v>Probabilidad</v>
      </c>
      <c r="T7" s="111" t="s">
        <v>15</v>
      </c>
      <c r="U7" s="143" t="s">
        <v>10</v>
      </c>
      <c r="V7" s="112" t="str">
        <f>IF(AND(T7="Preventivo",U7="Automático"),"50%",IF(AND(T7="Preventivo",U7="Manual"),"40%",IF(AND(T7="Detectivo",U7="Automático"),"40%",IF(AND(T7="Detectivo",U7="Manual"),"30%",IF(AND(T7="Correctivo",U7="Automático"),"35%",IF(AND(T7="Correctivo",U7="Manual"),"25%",""))))))</f>
        <v>40%</v>
      </c>
      <c r="W7" s="111" t="s">
        <v>20</v>
      </c>
      <c r="X7" s="111" t="s">
        <v>22</v>
      </c>
      <c r="Y7" s="111" t="s">
        <v>101</v>
      </c>
      <c r="Z7" s="113">
        <f>IFERROR(IF(S7="Probabilidad",(K7-(+K7*V7)),IF(S7="Impacto",K7,"")),"")</f>
        <v>0.36</v>
      </c>
      <c r="AA7" s="114" t="str">
        <f>IFERROR(IF(Z7="","",IF(Z7&lt;=0.2,"Muy Baja",IF(Z7&lt;=0.4,"Baja",IF(Z7&lt;=0.6,"Media",IF(Z7&lt;=0.8,"Alta","Muy Alta"))))),"")</f>
        <v>Baja</v>
      </c>
      <c r="AB7" s="112">
        <f>+Z7</f>
        <v>0.36</v>
      </c>
      <c r="AC7" s="114" t="str">
        <f>IFERROR(IF(AD7="","",IF(AD7&lt;=0.2,"Leve",IF(AD7&lt;=0.4,"Menor",IF(AD7&lt;=0.6,"Moderado",IF(AD7&lt;=0.8,"Mayor","Catastrófico"))))),"")</f>
        <v>Mayor</v>
      </c>
      <c r="AD7" s="112">
        <f>IFERROR(IF(S7="Impacto",(O7-(+O7*V7)),IF(S7="Probabilidad",O7,"")),"")</f>
        <v>0.8</v>
      </c>
      <c r="AE7" s="115" t="str">
        <f>IFERROR(IF(OR(AND(AA7="Muy Baja",AC7="Leve"),AND(AA7="Muy Baja",AC7="Menor"),AND(AA7="Baja",AC7="Leve")),"Bajo",IF(OR(AND(AA7="Muy baja",AC7="Moderado"),AND(AA7="Baja",AC7="Menor"),AND(AA7="Baja",AC7="Moderado"),AND(AA7="Media",AC7="Leve"),AND(AA7="Media",AC7="Menor"),AND(AA7="Media",AC7="Moderado"),AND(AA7="Alta",AC7="Leve"),AND(AA7="Alta",AC7="Menor")),"Moderado",IF(OR(AND(AA7="Muy Baja",AC7="Mayor"),AND(AA7="Baja",AC7="Mayor"),AND(AA7="Media",AC7="Mayor"),AND(AA7="Alta",AC7="Moderado"),AND(AA7="Alta",AC7="Mayor"),AND(AA7="Muy Alta",AC7="Leve"),AND(AA7="Muy Alta",AC7="Menor"),AND(AA7="Muy Alta",AC7="Moderado"),AND(AA7="Muy Alta",AC7="Mayor")),"Alto",IF(OR(AND(AA7="Muy Baja",AC7="Catastrófico"),AND(AA7="Baja",AC7="Catastrófico"),AND(AA7="Media",AC7="Catastrófico"),AND(AA7="Alta",AC7="Catastrófico"),AND(AA7="Muy Alta",AC7="Catastrófico")),"Extremo","")))),"")</f>
        <v>Alto</v>
      </c>
      <c r="AF7" s="270" t="s">
        <v>113</v>
      </c>
      <c r="AG7" s="145" t="s">
        <v>279</v>
      </c>
      <c r="AH7" s="145" t="s">
        <v>281</v>
      </c>
      <c r="AI7" s="455">
        <v>44926</v>
      </c>
      <c r="AJ7" s="146" t="s">
        <v>350</v>
      </c>
      <c r="AK7" s="214"/>
      <c r="AL7" s="117"/>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row>
    <row r="8" spans="1:70" s="3" customFormat="1" ht="238.5" customHeight="1" x14ac:dyDescent="0.25">
      <c r="A8" s="293"/>
      <c r="B8" s="122" t="s">
        <v>190</v>
      </c>
      <c r="C8" s="464"/>
      <c r="D8" s="295"/>
      <c r="E8" s="295"/>
      <c r="F8" s="295"/>
      <c r="G8" s="465"/>
      <c r="H8" s="462" t="s">
        <v>102</v>
      </c>
      <c r="I8" s="463">
        <v>500</v>
      </c>
      <c r="J8" s="105" t="str">
        <f t="shared" ref="J8:J9" si="0">IF(I8&lt;=0,"",IF(I8&lt;=2,"Muy Baja",IF(I8&lt;=24,"Baja",IF(I8&lt;=500,"Media",IF(I8&lt;=5000,"Alta","Muy Alta")))))</f>
        <v>Media</v>
      </c>
      <c r="K8" s="106">
        <f t="shared" ref="K8:K9" si="1">IF(J8="","",IF(J8="Muy Baja",0.2,IF(J8="Baja",0.4,IF(J8="Media",0.6,IF(J8="Alta",0.8,IF(J8="Muy Alta",1,))))))</f>
        <v>0.6</v>
      </c>
      <c r="L8" s="107" t="s">
        <v>127</v>
      </c>
      <c r="M8" s="126" t="str">
        <f>IF(NOT(ISERROR(MATCH(L8,'Tabla Impacto'!$B$221:$B$223,0))),'Tabla Impacto'!$F$223&amp;"Por favor no seleccionar los criterios de impacto(Afectación Económica o presupuestal y Pérdida Reputacional)",L8)</f>
        <v xml:space="preserve">     Entre 100 y 500 SMLMV </v>
      </c>
      <c r="N8" s="105" t="str">
        <f>IF(OR(M8='Tabla Impacto'!$C$11,M8='Tabla Impacto'!$D$11),"Leve",IF(OR(M8='Tabla Impacto'!$C$12,M8='Tabla Impacto'!$D$12),"Menor",IF(OR(M8='Tabla Impacto'!$C$13,M8='Tabla Impacto'!$D$13),"Moderado",IF(OR(M8='Tabla Impacto'!$C$14,M8='Tabla Impacto'!$D$14),"Mayor",IF(OR(M8='Tabla Impacto'!$C$15,M8='Tabla Impacto'!$D$15),"Catastrófico","")))))</f>
        <v>Mayor</v>
      </c>
      <c r="O8" s="106">
        <f t="shared" ref="O8:O9" si="2">IF(N8="","",IF(N8="Leve",0.2,IF(N8="Menor",0.4,IF(N8="Moderado",0.6,IF(N8="Mayor",0.8,IF(N8="Catastrófico",1,))))))</f>
        <v>0.8</v>
      </c>
      <c r="P8" s="108" t="str">
        <f t="shared" ref="P8:P9" si="3">IF(OR(AND(J8="Muy Baja",N8="Leve"),AND(J8="Muy Baja",N8="Menor"),AND(J8="Baja",N8="Leve")),"Bajo",IF(OR(AND(J8="Muy baja",N8="Moderado"),AND(J8="Baja",N8="Menor"),AND(J8="Baja",N8="Moderado"),AND(J8="Media",N8="Leve"),AND(J8="Media",N8="Menor"),AND(J8="Media",N8="Moderado"),AND(J8="Alta",N8="Leve"),AND(J8="Alta",N8="Menor")),"Moderado",IF(OR(AND(J8="Muy Baja",N8="Mayor"),AND(J8="Baja",N8="Mayor"),AND(J8="Media",N8="Mayor"),AND(J8="Alta",N8="Moderado"),AND(J8="Alta",N8="Mayor"),AND(J8="Muy Alta",N8="Leve"),AND(J8="Muy Alta",N8="Menor"),AND(J8="Muy Alta",N8="Moderado"),AND(J8="Muy Alta",N8="Mayor")),"Alto",IF(OR(AND(J8="Muy Baja",N8="Catastrófico"),AND(J8="Baja",N8="Catastrófico"),AND(J8="Media",N8="Catastrófico"),AND(J8="Alta",N8="Catastrófico"),AND(J8="Muy Alta",N8="Catastrófico")),"Extremo",""))))</f>
        <v>Alto</v>
      </c>
      <c r="Q8" s="141">
        <v>2</v>
      </c>
      <c r="R8" s="142" t="s">
        <v>277</v>
      </c>
      <c r="S8" s="192" t="str">
        <f t="shared" ref="S8:S9" si="4">IF(OR(T8="Preventivo",T8="Detectivo"),"Probabilidad",IF(T8="Correctivo","Impacto",""))</f>
        <v>Probabilidad</v>
      </c>
      <c r="T8" s="111" t="s">
        <v>15</v>
      </c>
      <c r="U8" s="143" t="s">
        <v>10</v>
      </c>
      <c r="V8" s="112" t="str">
        <f>IF(AND(T8="Preventivo",U8="Automático"),"50%",IF(AND(T8="Preventivo",U8="Manual"),"40%",IF(AND(T8="Detectivo",U8="Automático"),"40%",IF(AND(T8="Detectivo",U8="Manual"),"30%",IF(AND(T8="Correctivo",U8="Automático"),"35%",IF(AND(T8="Correctivo",U8="Manual"),"25%",""))))))</f>
        <v>40%</v>
      </c>
      <c r="W8" s="111" t="s">
        <v>20</v>
      </c>
      <c r="X8" s="111" t="s">
        <v>22</v>
      </c>
      <c r="Y8" s="111" t="s">
        <v>101</v>
      </c>
      <c r="Z8" s="113">
        <f>IFERROR(IF(S8="Probabilidad",(K8-(+K8*V8)),IF(S8="Impacto",K8,"")),"")</f>
        <v>0.36</v>
      </c>
      <c r="AA8" s="114" t="str">
        <f t="shared" ref="AA8:AA9" si="5">IFERROR(IF(Z8="","",IF(Z8&lt;=0.2,"Muy Baja",IF(Z8&lt;=0.4,"Baja",IF(Z8&lt;=0.6,"Media",IF(Z8&lt;=0.8,"Alta","Muy Alta"))))),"")</f>
        <v>Baja</v>
      </c>
      <c r="AB8" s="112">
        <f t="shared" ref="AB8:AB9" si="6">+Z8</f>
        <v>0.36</v>
      </c>
      <c r="AC8" s="114" t="str">
        <f t="shared" ref="AC8:AC9" si="7">IFERROR(IF(AD8="","",IF(AD8&lt;=0.2,"Leve",IF(AD8&lt;=0.4,"Menor",IF(AD8&lt;=0.6,"Moderado",IF(AD8&lt;=0.8,"Mayor","Catastrófico"))))),"")</f>
        <v>Mayor</v>
      </c>
      <c r="AD8" s="112">
        <f t="shared" ref="AD8:AD9" si="8">IFERROR(IF(S8="Impacto",(O8-(+O8*V8)),IF(S8="Probabilidad",O8,"")),"")</f>
        <v>0.8</v>
      </c>
      <c r="AE8" s="115" t="str">
        <f t="shared" ref="AE8:AE9" si="9">IFERROR(IF(OR(AND(AA8="Muy Baja",AC8="Leve"),AND(AA8="Muy Baja",AC8="Menor"),AND(AA8="Baja",AC8="Leve")),"Bajo",IF(OR(AND(AA8="Muy baja",AC8="Moderado"),AND(AA8="Baja",AC8="Menor"),AND(AA8="Baja",AC8="Moderado"),AND(AA8="Media",AC8="Leve"),AND(AA8="Media",AC8="Menor"),AND(AA8="Media",AC8="Moderado"),AND(AA8="Alta",AC8="Leve"),AND(AA8="Alta",AC8="Menor")),"Moderado",IF(OR(AND(AA8="Muy Baja",AC8="Mayor"),AND(AA8="Baja",AC8="Mayor"),AND(AA8="Media",AC8="Mayor"),AND(AA8="Alta",AC8="Moderado"),AND(AA8="Alta",AC8="Mayor"),AND(AA8="Muy Alta",AC8="Leve"),AND(AA8="Muy Alta",AC8="Menor"),AND(AA8="Muy Alta",AC8="Moderado"),AND(AA8="Muy Alta",AC8="Mayor")),"Alto",IF(OR(AND(AA8="Muy Baja",AC8="Catastrófico"),AND(AA8="Baja",AC8="Catastrófico"),AND(AA8="Media",AC8="Catastrófico"),AND(AA8="Alta",AC8="Catastrófico"),AND(AA8="Muy Alta",AC8="Catastrófico")),"Extremo","")))),"")</f>
        <v>Alto</v>
      </c>
      <c r="AF8" s="296"/>
      <c r="AG8" s="272" t="s">
        <v>280</v>
      </c>
      <c r="AH8" s="272" t="s">
        <v>281</v>
      </c>
      <c r="AI8" s="456">
        <v>44926</v>
      </c>
      <c r="AJ8" s="274" t="s">
        <v>350</v>
      </c>
      <c r="AK8" s="450"/>
      <c r="AL8" s="266"/>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row>
    <row r="9" spans="1:70" s="3" customFormat="1" ht="238.5" customHeight="1" x14ac:dyDescent="0.25">
      <c r="A9" s="294"/>
      <c r="B9" s="122" t="s">
        <v>190</v>
      </c>
      <c r="C9" s="466"/>
      <c r="D9" s="273"/>
      <c r="E9" s="273"/>
      <c r="F9" s="273"/>
      <c r="G9" s="467"/>
      <c r="H9" s="462"/>
      <c r="I9" s="463">
        <v>500</v>
      </c>
      <c r="J9" s="105" t="str">
        <f t="shared" si="0"/>
        <v>Media</v>
      </c>
      <c r="K9" s="106">
        <f t="shared" si="1"/>
        <v>0.6</v>
      </c>
      <c r="L9" s="107" t="s">
        <v>127</v>
      </c>
      <c r="M9" s="126" t="str">
        <f>IF(NOT(ISERROR(MATCH(L9,'Tabla Impacto'!$B$221:$B$223,0))),'Tabla Impacto'!$F$223&amp;"Por favor no seleccionar los criterios de impacto(Afectación Económica o presupuestal y Pérdida Reputacional)",L9)</f>
        <v xml:space="preserve">     Entre 100 y 500 SMLMV </v>
      </c>
      <c r="N9" s="105" t="str">
        <f>IF(OR(M9='Tabla Impacto'!$C$11,M9='Tabla Impacto'!$D$11),"Leve",IF(OR(M9='Tabla Impacto'!$C$12,M9='Tabla Impacto'!$D$12),"Menor",IF(OR(M9='Tabla Impacto'!$C$13,M9='Tabla Impacto'!$D$13),"Moderado",IF(OR(M9='Tabla Impacto'!$C$14,M9='Tabla Impacto'!$D$14),"Mayor",IF(OR(M9='Tabla Impacto'!$C$15,M9='Tabla Impacto'!$D$15),"Catastrófico","")))))</f>
        <v>Mayor</v>
      </c>
      <c r="O9" s="106">
        <f t="shared" si="2"/>
        <v>0.8</v>
      </c>
      <c r="P9" s="108" t="str">
        <f t="shared" si="3"/>
        <v>Alto</v>
      </c>
      <c r="Q9" s="141">
        <v>3</v>
      </c>
      <c r="R9" s="142" t="s">
        <v>278</v>
      </c>
      <c r="S9" s="192" t="str">
        <f t="shared" si="4"/>
        <v>Impacto</v>
      </c>
      <c r="T9" s="111" t="s">
        <v>16</v>
      </c>
      <c r="U9" s="111" t="s">
        <v>9</v>
      </c>
      <c r="V9" s="112" t="str">
        <f>IF(AND(T9="Preventivo",U9="Automático"),"50%",IF(AND(T9="Preventivo",U9="Manual"),"40%",IF(AND(T9="Detectivo",U9="Automático"),"40%",IF(AND(T9="Detectivo",U9="Manual"),"30%",IF(AND(T9="Correctivo",U9="Automático"),"35%",IF(AND(T9="Correctivo",U9="Manual"),"25%",""))))))</f>
        <v>25%</v>
      </c>
      <c r="W9" s="111" t="s">
        <v>19</v>
      </c>
      <c r="X9" s="111" t="s">
        <v>23</v>
      </c>
      <c r="Y9" s="111" t="s">
        <v>100</v>
      </c>
      <c r="Z9" s="113">
        <f t="shared" ref="Z9" si="10">IFERROR(IF(S9="Probabilidad",(K9-(+K9*V9)),IF(S9="Impacto",K9,"")),"")</f>
        <v>0.6</v>
      </c>
      <c r="AA9" s="114" t="str">
        <f t="shared" si="5"/>
        <v>Media</v>
      </c>
      <c r="AB9" s="112">
        <f t="shared" si="6"/>
        <v>0.6</v>
      </c>
      <c r="AC9" s="114" t="str">
        <f t="shared" si="7"/>
        <v>Moderado</v>
      </c>
      <c r="AD9" s="112">
        <f t="shared" si="8"/>
        <v>0.60000000000000009</v>
      </c>
      <c r="AE9" s="115" t="str">
        <f t="shared" si="9"/>
        <v>Moderado</v>
      </c>
      <c r="AF9" s="271"/>
      <c r="AG9" s="273"/>
      <c r="AH9" s="273"/>
      <c r="AI9" s="457"/>
      <c r="AJ9" s="275"/>
      <c r="AK9" s="297"/>
      <c r="AL9" s="267"/>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row>
    <row r="10" spans="1:70" ht="151.5" customHeight="1" x14ac:dyDescent="0.3">
      <c r="A10" s="123" t="s">
        <v>188</v>
      </c>
      <c r="B10" s="122" t="s">
        <v>190</v>
      </c>
      <c r="C10" s="468">
        <v>2</v>
      </c>
      <c r="D10" s="462" t="s">
        <v>111</v>
      </c>
      <c r="E10" s="462" t="s">
        <v>284</v>
      </c>
      <c r="F10" s="462" t="s">
        <v>283</v>
      </c>
      <c r="G10" s="469" t="s">
        <v>282</v>
      </c>
      <c r="H10" s="462" t="s">
        <v>355</v>
      </c>
      <c r="I10" s="463">
        <v>5000</v>
      </c>
      <c r="J10" s="105" t="str">
        <f>IF(I10&lt;=0,"",IF(I10&lt;=2,"Muy Baja",IF(I10&lt;=24,"Baja",IF(I10&lt;=500,"Media",IF(I10&lt;=5000,"Alta","Muy Alta")))))</f>
        <v>Alta</v>
      </c>
      <c r="K10" s="106">
        <f t="shared" ref="K10:K58" si="11">IF(J10="","",IF(J10="Muy Baja",0.2,IF(J10="Baja",0.4,IF(J10="Media",0.6,IF(J10="Alta",0.8,IF(J10="Muy Alta",1,))))))</f>
        <v>0.8</v>
      </c>
      <c r="L10" s="107" t="s">
        <v>127</v>
      </c>
      <c r="M10" s="126" t="str">
        <f>IF(NOT(ISERROR(MATCH(L10,_xlfn.ANCHORARRAY(G18),0))),K21&amp;"Por favor no seleccionar los criterios de impacto",L10)</f>
        <v xml:space="preserve">     Entre 100 y 500 SMLMV </v>
      </c>
      <c r="N10" s="105" t="str">
        <f>IF(OR(M10='Tabla Impacto'!$C$11,M10='Tabla Impacto'!$D$11),"Leve",IF(OR(M10='Tabla Impacto'!$C$12,M10='Tabla Impacto'!$D$12),"Menor",IF(OR(M10='Tabla Impacto'!$C$13,M10='Tabla Impacto'!$D$13),"Moderado",IF(OR(M10='Tabla Impacto'!$C$14,M10='Tabla Impacto'!$D$14),"Mayor",IF(OR(M10='Tabla Impacto'!$C$15,M10='Tabla Impacto'!$D$15),"Catastrófico","")))))</f>
        <v>Mayor</v>
      </c>
      <c r="O10" s="106">
        <f t="shared" ref="O10:O59" si="12">IF(N10="","",IF(N10="Leve",0.2,IF(N10="Menor",0.4,IF(N10="Moderado",0.6,IF(N10="Mayor",0.8,IF(N10="Catastrófico",1,))))))</f>
        <v>0.8</v>
      </c>
      <c r="P10" s="108" t="str">
        <f t="shared" ref="P10:P59" si="13">IF(OR(AND(J10="Muy Baja",N10="Leve"),AND(J10="Muy Baja",N10="Menor"),AND(J10="Baja",N10="Leve")),"Bajo",IF(OR(AND(J10="Muy baja",N10="Moderado"),AND(J10="Baja",N10="Menor"),AND(J10="Baja",N10="Moderado"),AND(J10="Media",N10="Leve"),AND(J10="Media",N10="Menor"),AND(J10="Media",N10="Moderado"),AND(J10="Alta",N10="Leve"),AND(J10="Alta",N10="Menor")),"Moderado",IF(OR(AND(J10="Muy Baja",N10="Mayor"),AND(J10="Baja",N10="Mayor"),AND(J10="Media",N10="Mayor"),AND(J10="Alta",N10="Moderado"),AND(J10="Alta",N10="Mayor"),AND(J10="Muy Alta",N10="Leve"),AND(J10="Muy Alta",N10="Menor"),AND(J10="Muy Alta",N10="Moderado"),AND(J10="Muy Alta",N10="Mayor")),"Alto",IF(OR(AND(J10="Muy Baja",N10="Catastrófico"),AND(J10="Baja",N10="Catastrófico"),AND(J10="Media",N10="Catastrófico"),AND(J10="Alta",N10="Catastrófico"),AND(J10="Muy Alta",N10="Catastrófico")),"Extremo",""))))</f>
        <v>Alto</v>
      </c>
      <c r="Q10" s="141">
        <v>1</v>
      </c>
      <c r="R10" s="142" t="s">
        <v>289</v>
      </c>
      <c r="S10" s="192" t="str">
        <f t="shared" ref="S10:S57" si="14">IF(OR(T10="Preventivo",T10="Detectivo"),"Probabilidad",IF(T10="Correctivo","Impacto",""))</f>
        <v>Probabilidad</v>
      </c>
      <c r="T10" s="111" t="s">
        <v>14</v>
      </c>
      <c r="U10" s="111" t="s">
        <v>9</v>
      </c>
      <c r="V10" s="112" t="str">
        <f t="shared" ref="V10:V59" si="15">IF(AND(T10="Preventivo",U10="Automático"),"50%",IF(AND(T10="Preventivo",U10="Manual"),"40%",IF(AND(T10="Detectivo",U10="Automático"),"40%",IF(AND(T10="Detectivo",U10="Manual"),"30%",IF(AND(T10="Correctivo",U10="Automático"),"35%",IF(AND(T10="Correctivo",U10="Manual"),"25%",""))))))</f>
        <v>40%</v>
      </c>
      <c r="W10" s="111" t="s">
        <v>20</v>
      </c>
      <c r="X10" s="111" t="s">
        <v>22</v>
      </c>
      <c r="Y10" s="111" t="s">
        <v>100</v>
      </c>
      <c r="Z10" s="113">
        <f t="shared" ref="Z10:Z66" si="16">IFERROR(IF(S10="Probabilidad",(K10-(+K10*V10)),IF(S10="Impacto",K10,"")),"")</f>
        <v>0.48</v>
      </c>
      <c r="AA10" s="114" t="str">
        <f t="shared" ref="AA10:AA57" si="17">IFERROR(IF(Z10="","",IF(Z10&lt;=0.2,"Muy Baja",IF(Z10&lt;=0.4,"Baja",IF(Z10&lt;=0.6,"Media",IF(Z10&lt;=0.8,"Alta","Muy Alta"))))),"")</f>
        <v>Media</v>
      </c>
      <c r="AB10" s="112">
        <f t="shared" ref="AB10:AB58" si="18">+Z10</f>
        <v>0.48</v>
      </c>
      <c r="AC10" s="114" t="str">
        <f t="shared" ref="AC10:AC58" si="19">IFERROR(IF(AD10="","",IF(AD10&lt;=0.2,"Leve",IF(AD10&lt;=0.4,"Menor",IF(AD10&lt;=0.6,"Moderado",IF(AD10&lt;=0.8,"Mayor","Catastrófico"))))),"")</f>
        <v>Mayor</v>
      </c>
      <c r="AD10" s="112">
        <f t="shared" ref="AD10:AD58" si="20">IFERROR(IF(S10="Impacto",(O10-(+O10*V10)),IF(S10="Probabilidad",O10,"")),"")</f>
        <v>0.8</v>
      </c>
      <c r="AE10" s="115" t="str">
        <f t="shared" ref="AE10:AE58" si="21">IFERROR(IF(OR(AND(AA10="Muy Baja",AC10="Leve"),AND(AA10="Muy Baja",AC10="Menor"),AND(AA10="Baja",AC10="Leve")),"Bajo",IF(OR(AND(AA10="Muy baja",AC10="Moderado"),AND(AA10="Baja",AC10="Menor"),AND(AA10="Baja",AC10="Moderado"),AND(AA10="Media",AC10="Leve"),AND(AA10="Media",AC10="Menor"),AND(AA10="Media",AC10="Moderado"),AND(AA10="Alta",AC10="Leve"),AND(AA10="Alta",AC10="Menor")),"Moderado",IF(OR(AND(AA10="Muy Baja",AC10="Mayor"),AND(AA10="Baja",AC10="Mayor"),AND(AA10="Media",AC10="Mayor"),AND(AA10="Alta",AC10="Moderado"),AND(AA10="Alta",AC10="Mayor"),AND(AA10="Muy Alta",AC10="Leve"),AND(AA10="Muy Alta",AC10="Menor"),AND(AA10="Muy Alta",AC10="Moderado"),AND(AA10="Muy Alta",AC10="Mayor")),"Alto",IF(OR(AND(AA10="Muy Baja",AC10="Catastrófico"),AND(AA10="Baja",AC10="Catastrófico"),AND(AA10="Media",AC10="Catastrófico"),AND(AA10="Alta",AC10="Catastrófico"),AND(AA10="Muy Alta",AC10="Catastrófico")),"Extremo","")))),"")</f>
        <v>Alto</v>
      </c>
      <c r="AF10" s="111" t="s">
        <v>113</v>
      </c>
      <c r="AG10" s="145" t="s">
        <v>290</v>
      </c>
      <c r="AH10" s="145" t="s">
        <v>281</v>
      </c>
      <c r="AI10" s="455">
        <v>44926</v>
      </c>
      <c r="AJ10" s="146" t="s">
        <v>350</v>
      </c>
      <c r="AK10" s="214"/>
      <c r="AL10" s="117"/>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row>
    <row r="11" spans="1:70" ht="195.75" customHeight="1" x14ac:dyDescent="0.3">
      <c r="A11" s="123" t="s">
        <v>188</v>
      </c>
      <c r="B11" s="122" t="s">
        <v>190</v>
      </c>
      <c r="C11" s="468">
        <v>3</v>
      </c>
      <c r="D11" s="462" t="s">
        <v>109</v>
      </c>
      <c r="E11" s="462" t="s">
        <v>356</v>
      </c>
      <c r="F11" s="462" t="s">
        <v>291</v>
      </c>
      <c r="G11" s="469" t="s">
        <v>292</v>
      </c>
      <c r="H11" s="470" t="s">
        <v>479</v>
      </c>
      <c r="I11" s="463">
        <v>500</v>
      </c>
      <c r="J11" s="105" t="str">
        <f t="shared" ref="J11:J24" si="22">IF(I11&lt;=0,"",IF(I11&lt;=2,"Muy Baja",IF(I11&lt;=24,"Baja",IF(I11&lt;=500,"Media",IF(I11&lt;=5000,"Alta","Muy Alta")))))</f>
        <v>Media</v>
      </c>
      <c r="K11" s="106">
        <f t="shared" si="11"/>
        <v>0.6</v>
      </c>
      <c r="L11" s="107" t="s">
        <v>131</v>
      </c>
      <c r="M11" s="126" t="str">
        <f>IF(NOT(ISERROR(MATCH(L11,_xlfn.ANCHORARRAY(G19),0))),#REF!&amp;"Por favor no seleccionar los criterios de impacto",L11)</f>
        <v xml:space="preserve">     El riesgo afecta la imagen de la entidad con algunos usuarios de relevancia frente al logro de los objetivos</v>
      </c>
      <c r="N11" s="105" t="str">
        <f>IF(OR(M11='Tabla Impacto'!$C$11,M11='Tabla Impacto'!$D$11),"Leve",IF(OR(M11='Tabla Impacto'!$C$12,M11='Tabla Impacto'!$D$12),"Menor",IF(OR(M11='Tabla Impacto'!$C$13,M11='Tabla Impacto'!$D$13),"Moderado",IF(OR(M11='Tabla Impacto'!$C$14,M11='Tabla Impacto'!$D$14),"Mayor",IF(OR(M11='Tabla Impacto'!$C$15,M11='Tabla Impacto'!$D$15),"Catastrófico","")))))</f>
        <v>Moderado</v>
      </c>
      <c r="O11" s="106">
        <f t="shared" si="12"/>
        <v>0.6</v>
      </c>
      <c r="P11" s="108" t="str">
        <f t="shared" si="13"/>
        <v>Moderado</v>
      </c>
      <c r="Q11" s="141">
        <v>1</v>
      </c>
      <c r="R11" s="144" t="s">
        <v>357</v>
      </c>
      <c r="S11" s="192" t="str">
        <f t="shared" si="14"/>
        <v>Probabilidad</v>
      </c>
      <c r="T11" s="111" t="s">
        <v>14</v>
      </c>
      <c r="U11" s="111" t="s">
        <v>10</v>
      </c>
      <c r="V11" s="112" t="str">
        <f t="shared" si="15"/>
        <v>50%</v>
      </c>
      <c r="W11" s="111" t="s">
        <v>19</v>
      </c>
      <c r="X11" s="111" t="s">
        <v>23</v>
      </c>
      <c r="Y11" s="111" t="s">
        <v>100</v>
      </c>
      <c r="Z11" s="113">
        <f t="shared" si="16"/>
        <v>0.3</v>
      </c>
      <c r="AA11" s="114" t="str">
        <f t="shared" si="17"/>
        <v>Baja</v>
      </c>
      <c r="AB11" s="112">
        <f t="shared" si="18"/>
        <v>0.3</v>
      </c>
      <c r="AC11" s="114" t="str">
        <f t="shared" si="19"/>
        <v>Moderado</v>
      </c>
      <c r="AD11" s="112">
        <f t="shared" si="20"/>
        <v>0.6</v>
      </c>
      <c r="AE11" s="115" t="str">
        <f t="shared" si="21"/>
        <v>Moderado</v>
      </c>
      <c r="AF11" s="111" t="s">
        <v>113</v>
      </c>
      <c r="AG11" s="145" t="s">
        <v>293</v>
      </c>
      <c r="AH11" s="145" t="s">
        <v>281</v>
      </c>
      <c r="AI11" s="455">
        <v>44926</v>
      </c>
      <c r="AJ11" s="146" t="s">
        <v>350</v>
      </c>
      <c r="AK11" s="214"/>
      <c r="AL11" s="217"/>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row>
    <row r="12" spans="1:70" ht="151.5" customHeight="1" x14ac:dyDescent="0.3">
      <c r="A12" s="123" t="s">
        <v>188</v>
      </c>
      <c r="B12" s="205" t="s">
        <v>191</v>
      </c>
      <c r="C12" s="468">
        <v>7</v>
      </c>
      <c r="D12" s="462" t="s">
        <v>109</v>
      </c>
      <c r="E12" s="462" t="s">
        <v>358</v>
      </c>
      <c r="F12" s="462" t="s">
        <v>359</v>
      </c>
      <c r="G12" s="469" t="s">
        <v>360</v>
      </c>
      <c r="H12" s="462" t="s">
        <v>361</v>
      </c>
      <c r="I12" s="463">
        <v>750</v>
      </c>
      <c r="J12" s="105" t="str">
        <f t="shared" si="22"/>
        <v>Alta</v>
      </c>
      <c r="K12" s="106">
        <f t="shared" si="11"/>
        <v>0.8</v>
      </c>
      <c r="L12" s="107" t="s">
        <v>132</v>
      </c>
      <c r="M12" s="126" t="str">
        <f>IF(NOT(ISERROR(MATCH(L12,'Tabla Impacto'!$B$221:$B$223,0))),'Tabla Impacto'!$F$223&amp;"Por favor no seleccionar los criterios de impacto(Afectación Económica o presupuestal y Pérdida Reputacional)",L12)</f>
        <v xml:space="preserve">     El riesgo afecta la imagen de de la entidad con efecto publicitario sostenido a nivel de sector administrativo, nivel departamental o municipal</v>
      </c>
      <c r="N12" s="105" t="str">
        <f>IF(OR(M12='Tabla Impacto'!$C$11,M12='Tabla Impacto'!$D$11),"Leve",IF(OR(M12='Tabla Impacto'!$C$12,M12='Tabla Impacto'!$D$12),"Menor",IF(OR(M12='Tabla Impacto'!$C$13,M12='Tabla Impacto'!$D$13),"Moderado",IF(OR(M12='Tabla Impacto'!$C$14,M12='Tabla Impacto'!$D$14),"Mayor",IF(OR(M12='Tabla Impacto'!$C$15,M12='Tabla Impacto'!$D$15),"Catastrófico","")))))</f>
        <v>Mayor</v>
      </c>
      <c r="O12" s="106">
        <f t="shared" si="12"/>
        <v>0.8</v>
      </c>
      <c r="P12" s="108" t="str">
        <f t="shared" si="13"/>
        <v>Alto</v>
      </c>
      <c r="Q12" s="141">
        <v>1</v>
      </c>
      <c r="R12" s="110" t="s">
        <v>362</v>
      </c>
      <c r="S12" s="192" t="str">
        <f t="shared" si="14"/>
        <v>Probabilidad</v>
      </c>
      <c r="T12" s="111" t="s">
        <v>15</v>
      </c>
      <c r="U12" s="111" t="s">
        <v>9</v>
      </c>
      <c r="V12" s="112" t="str">
        <f t="shared" si="15"/>
        <v>30%</v>
      </c>
      <c r="W12" s="111" t="s">
        <v>19</v>
      </c>
      <c r="X12" s="111" t="s">
        <v>22</v>
      </c>
      <c r="Y12" s="111" t="s">
        <v>100</v>
      </c>
      <c r="Z12" s="113">
        <f t="shared" si="16"/>
        <v>0.56000000000000005</v>
      </c>
      <c r="AA12" s="114" t="str">
        <f t="shared" si="17"/>
        <v>Media</v>
      </c>
      <c r="AB12" s="112">
        <f t="shared" si="18"/>
        <v>0.56000000000000005</v>
      </c>
      <c r="AC12" s="114" t="str">
        <f t="shared" si="19"/>
        <v>Mayor</v>
      </c>
      <c r="AD12" s="112">
        <f t="shared" si="20"/>
        <v>0.8</v>
      </c>
      <c r="AE12" s="115" t="str">
        <f t="shared" si="21"/>
        <v>Alto</v>
      </c>
      <c r="AF12" s="111" t="s">
        <v>113</v>
      </c>
      <c r="AG12" s="145" t="s">
        <v>330</v>
      </c>
      <c r="AH12" s="145" t="s">
        <v>331</v>
      </c>
      <c r="AI12" s="146">
        <v>44926</v>
      </c>
      <c r="AJ12" s="146" t="s">
        <v>350</v>
      </c>
      <c r="AK12" s="214"/>
      <c r="AL12" s="117"/>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row>
    <row r="13" spans="1:70" ht="151.5" customHeight="1" x14ac:dyDescent="0.3">
      <c r="A13" s="123" t="s">
        <v>188</v>
      </c>
      <c r="B13" s="122" t="s">
        <v>192</v>
      </c>
      <c r="C13" s="468">
        <v>8</v>
      </c>
      <c r="D13" s="462" t="s">
        <v>111</v>
      </c>
      <c r="E13" s="462" t="s">
        <v>230</v>
      </c>
      <c r="F13" s="462" t="s">
        <v>229</v>
      </c>
      <c r="G13" s="469" t="s">
        <v>231</v>
      </c>
      <c r="H13" s="470" t="s">
        <v>479</v>
      </c>
      <c r="I13" s="463">
        <v>32</v>
      </c>
      <c r="J13" s="105" t="str">
        <f t="shared" si="22"/>
        <v>Media</v>
      </c>
      <c r="K13" s="106">
        <f t="shared" si="11"/>
        <v>0.6</v>
      </c>
      <c r="L13" s="107" t="s">
        <v>125</v>
      </c>
      <c r="M13" s="126" t="str">
        <f>IF(NOT(ISERROR(MATCH(L13,_xlfn.ANCHORARRAY(G25),0))),K26&amp;"Por favor no seleccionar los criterios de impacto",L13)</f>
        <v xml:space="preserve">     Entre 50 y 100 SMLMV </v>
      </c>
      <c r="N13" s="105" t="str">
        <f>IF(OR(M13='Tabla Impacto'!$C$11,M13='Tabla Impacto'!$D$11),"Leve",IF(OR(M13='Tabla Impacto'!$C$12,M13='Tabla Impacto'!$D$12),"Menor",IF(OR(M13='Tabla Impacto'!$C$13,M13='Tabla Impacto'!$D$13),"Moderado",IF(OR(M13='Tabla Impacto'!$C$14,M13='Tabla Impacto'!$D$14),"Mayor",IF(OR(M13='Tabla Impacto'!$C$15,M13='Tabla Impacto'!$D$15),"Catastrófico","")))))</f>
        <v>Moderado</v>
      </c>
      <c r="O13" s="106">
        <f t="shared" si="12"/>
        <v>0.6</v>
      </c>
      <c r="P13" s="108" t="str">
        <f t="shared" si="13"/>
        <v>Moderado</v>
      </c>
      <c r="Q13" s="109">
        <v>1</v>
      </c>
      <c r="R13" s="206" t="s">
        <v>401</v>
      </c>
      <c r="S13" s="192" t="str">
        <f t="shared" si="14"/>
        <v>Probabilidad</v>
      </c>
      <c r="T13" s="111" t="s">
        <v>14</v>
      </c>
      <c r="U13" s="111" t="s">
        <v>9</v>
      </c>
      <c r="V13" s="112" t="str">
        <f t="shared" si="15"/>
        <v>40%</v>
      </c>
      <c r="W13" s="111" t="s">
        <v>19</v>
      </c>
      <c r="X13" s="111" t="s">
        <v>22</v>
      </c>
      <c r="Y13" s="111" t="s">
        <v>100</v>
      </c>
      <c r="Z13" s="113">
        <f t="shared" si="16"/>
        <v>0.36</v>
      </c>
      <c r="AA13" s="114" t="str">
        <f t="shared" si="17"/>
        <v>Baja</v>
      </c>
      <c r="AB13" s="112">
        <f t="shared" si="18"/>
        <v>0.36</v>
      </c>
      <c r="AC13" s="114" t="str">
        <f t="shared" si="19"/>
        <v>Moderado</v>
      </c>
      <c r="AD13" s="112">
        <f t="shared" si="20"/>
        <v>0.6</v>
      </c>
      <c r="AE13" s="115" t="str">
        <f t="shared" si="21"/>
        <v>Moderado</v>
      </c>
      <c r="AF13" s="111" t="s">
        <v>31</v>
      </c>
      <c r="AG13" s="145"/>
      <c r="AH13" s="211"/>
      <c r="AI13" s="146"/>
      <c r="AJ13" s="146"/>
      <c r="AK13" s="214"/>
      <c r="AL13" s="117"/>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row>
    <row r="14" spans="1:70" ht="151.5" customHeight="1" x14ac:dyDescent="0.3">
      <c r="A14" s="123" t="s">
        <v>188</v>
      </c>
      <c r="B14" s="123" t="s">
        <v>303</v>
      </c>
      <c r="C14" s="468">
        <v>9</v>
      </c>
      <c r="D14" s="462" t="s">
        <v>110</v>
      </c>
      <c r="E14" s="462" t="s">
        <v>302</v>
      </c>
      <c r="F14" s="462" t="s">
        <v>304</v>
      </c>
      <c r="G14" s="469" t="s">
        <v>363</v>
      </c>
      <c r="H14" s="462" t="s">
        <v>355</v>
      </c>
      <c r="I14" s="471">
        <v>5001</v>
      </c>
      <c r="J14" s="105" t="str">
        <f t="shared" si="22"/>
        <v>Muy Alta</v>
      </c>
      <c r="K14" s="106">
        <f t="shared" si="11"/>
        <v>1</v>
      </c>
      <c r="L14" s="107" t="s">
        <v>128</v>
      </c>
      <c r="M14" s="126" t="str">
        <f>IF(NOT(ISERROR(MATCH(L14,_xlfn.ANCHORARRAY(#REF!),0))),K27&amp;"Por favor no seleccionar los criterios de impacto",L14)</f>
        <v xml:space="preserve">     Mayor a 500 SMLMV </v>
      </c>
      <c r="N14" s="105" t="str">
        <f>IF(OR(M14='Tabla Impacto'!$C$11,M14='Tabla Impacto'!$D$11),"Leve",IF(OR(M14='Tabla Impacto'!$C$12,M14='Tabla Impacto'!$D$12),"Menor",IF(OR(M14='Tabla Impacto'!$C$13,M14='Tabla Impacto'!$D$13),"Moderado",IF(OR(M14='Tabla Impacto'!$C$14,M14='Tabla Impacto'!$D$14),"Mayor",IF(OR(M14='Tabla Impacto'!$C$15,M14='Tabla Impacto'!$D$15),"Catastrófico","")))))</f>
        <v>Catastrófico</v>
      </c>
      <c r="O14" s="106">
        <f t="shared" si="12"/>
        <v>1</v>
      </c>
      <c r="P14" s="108" t="str">
        <f t="shared" si="13"/>
        <v>Extremo</v>
      </c>
      <c r="Q14" s="109">
        <v>1</v>
      </c>
      <c r="R14" s="116" t="s">
        <v>414</v>
      </c>
      <c r="S14" s="192" t="str">
        <f t="shared" si="14"/>
        <v>Probabilidad</v>
      </c>
      <c r="T14" s="111" t="s">
        <v>15</v>
      </c>
      <c r="U14" s="111" t="s">
        <v>9</v>
      </c>
      <c r="V14" s="112" t="str">
        <f t="shared" si="15"/>
        <v>30%</v>
      </c>
      <c r="W14" s="111" t="s">
        <v>20</v>
      </c>
      <c r="X14" s="111" t="s">
        <v>23</v>
      </c>
      <c r="Y14" s="111" t="s">
        <v>101</v>
      </c>
      <c r="Z14" s="113">
        <f>IFERROR(IF(S14="Probabilidad",(K14-(+K14*V14)),IF(S14="Impacto",K14,"")),"")</f>
        <v>0.7</v>
      </c>
      <c r="AA14" s="114" t="str">
        <f t="shared" si="17"/>
        <v>Alta</v>
      </c>
      <c r="AB14" s="112">
        <f t="shared" si="18"/>
        <v>0.7</v>
      </c>
      <c r="AC14" s="114" t="str">
        <f t="shared" si="19"/>
        <v>Catastrófico</v>
      </c>
      <c r="AD14" s="112">
        <f t="shared" si="20"/>
        <v>1</v>
      </c>
      <c r="AE14" s="115" t="str">
        <f t="shared" si="21"/>
        <v>Extremo</v>
      </c>
      <c r="AF14" s="111" t="s">
        <v>113</v>
      </c>
      <c r="AG14" s="145" t="s">
        <v>432</v>
      </c>
      <c r="AH14" s="145" t="s">
        <v>415</v>
      </c>
      <c r="AI14" s="146">
        <v>44926</v>
      </c>
      <c r="AJ14" s="146" t="s">
        <v>350</v>
      </c>
      <c r="AK14" s="214"/>
      <c r="AL14" s="117"/>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row>
    <row r="15" spans="1:70" ht="151.5" customHeight="1" x14ac:dyDescent="0.3">
      <c r="A15" s="123" t="s">
        <v>188</v>
      </c>
      <c r="B15" s="123" t="s">
        <v>303</v>
      </c>
      <c r="C15" s="468">
        <v>10</v>
      </c>
      <c r="D15" s="462" t="s">
        <v>111</v>
      </c>
      <c r="E15" s="462" t="s">
        <v>305</v>
      </c>
      <c r="F15" s="462" t="s">
        <v>306</v>
      </c>
      <c r="G15" s="469" t="s">
        <v>219</v>
      </c>
      <c r="H15" s="462" t="s">
        <v>355</v>
      </c>
      <c r="I15" s="471">
        <v>365</v>
      </c>
      <c r="J15" s="105" t="str">
        <f>IF(I15&lt;=0,"",IF(I15&lt;=2,"Muy Baja",IF(I15&lt;=24,"Baja",IF(I15&lt;=500,"Media",IF(I15&lt;=5000,"Alta","Muy Alta")))))</f>
        <v>Media</v>
      </c>
      <c r="K15" s="106">
        <f t="shared" si="11"/>
        <v>0.6</v>
      </c>
      <c r="L15" s="107" t="s">
        <v>131</v>
      </c>
      <c r="M15" s="126" t="str">
        <f>IF(NOT(ISERROR(MATCH(L15,_xlfn.ANCHORARRAY(G26),0))),#REF!&amp;"Por favor no seleccionar los criterios de impacto",L15)</f>
        <v xml:space="preserve">     El riesgo afecta la imagen de la entidad con algunos usuarios de relevancia frente al logro de los objetivos</v>
      </c>
      <c r="N15" s="105" t="str">
        <f>IF(OR(M15='Tabla Impacto'!$C$11,M15='Tabla Impacto'!$D$11),"Leve",IF(OR(M15='Tabla Impacto'!$C$12,M15='Tabla Impacto'!$D$12),"Menor",IF(OR(M15='Tabla Impacto'!$C$13,M15='Tabla Impacto'!$D$13),"Moderado",IF(OR(M15='Tabla Impacto'!$C$14,M15='Tabla Impacto'!$D$14),"Mayor",IF(OR(M15='Tabla Impacto'!$C$15,M15='Tabla Impacto'!$D$15),"Catastrófico","")))))</f>
        <v>Moderado</v>
      </c>
      <c r="O15" s="106">
        <f t="shared" si="12"/>
        <v>0.6</v>
      </c>
      <c r="P15" s="108" t="str">
        <f t="shared" si="13"/>
        <v>Moderado</v>
      </c>
      <c r="Q15" s="109">
        <v>1</v>
      </c>
      <c r="R15" s="110" t="s">
        <v>416</v>
      </c>
      <c r="S15" s="192" t="str">
        <f t="shared" si="14"/>
        <v>Probabilidad</v>
      </c>
      <c r="T15" s="111" t="s">
        <v>14</v>
      </c>
      <c r="U15" s="111" t="s">
        <v>9</v>
      </c>
      <c r="V15" s="112" t="str">
        <f t="shared" si="15"/>
        <v>40%</v>
      </c>
      <c r="W15" s="111" t="s">
        <v>19</v>
      </c>
      <c r="X15" s="111" t="s">
        <v>22</v>
      </c>
      <c r="Y15" s="111" t="s">
        <v>100</v>
      </c>
      <c r="Z15" s="113">
        <f t="shared" si="16"/>
        <v>0.36</v>
      </c>
      <c r="AA15" s="114" t="str">
        <f t="shared" si="17"/>
        <v>Baja</v>
      </c>
      <c r="AB15" s="112">
        <f t="shared" si="18"/>
        <v>0.36</v>
      </c>
      <c r="AC15" s="114" t="str">
        <f t="shared" si="19"/>
        <v>Moderado</v>
      </c>
      <c r="AD15" s="112">
        <f t="shared" si="20"/>
        <v>0.6</v>
      </c>
      <c r="AE15" s="115" t="str">
        <f t="shared" si="21"/>
        <v>Moderado</v>
      </c>
      <c r="AF15" s="111" t="s">
        <v>31</v>
      </c>
      <c r="AG15" s="145"/>
      <c r="AH15" s="211"/>
      <c r="AI15" s="146"/>
      <c r="AJ15" s="146"/>
      <c r="AK15" s="214"/>
      <c r="AL15" s="117"/>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row>
    <row r="16" spans="1:70" ht="198.75" customHeight="1" x14ac:dyDescent="0.3">
      <c r="A16" s="123" t="s">
        <v>188</v>
      </c>
      <c r="B16" s="123" t="s">
        <v>417</v>
      </c>
      <c r="C16" s="468">
        <v>11</v>
      </c>
      <c r="D16" s="462" t="s">
        <v>110</v>
      </c>
      <c r="E16" s="462" t="s">
        <v>418</v>
      </c>
      <c r="F16" s="462" t="s">
        <v>419</v>
      </c>
      <c r="G16" s="469" t="s">
        <v>420</v>
      </c>
      <c r="H16" s="462" t="s">
        <v>355</v>
      </c>
      <c r="I16" s="463">
        <v>300</v>
      </c>
      <c r="J16" s="105" t="str">
        <f>IF(I16&lt;=0,"",IF(I16&lt;=2,"Muy Baja",IF(I16&lt;=24,"Baja",IF(I16&lt;=500,"Media",IF(I16&lt;=5000,"Alta","Muy Alta")))))</f>
        <v>Media</v>
      </c>
      <c r="K16" s="106">
        <f t="shared" si="11"/>
        <v>0.6</v>
      </c>
      <c r="L16" s="107" t="s">
        <v>131</v>
      </c>
      <c r="M16" s="126" t="str">
        <f>IF(NOT(ISERROR(MATCH(L16,_xlfn.ANCHORARRAY(G27),0))),#REF!&amp;"Por favor no seleccionar los criterios de impacto",L16)</f>
        <v xml:space="preserve">     El riesgo afecta la imagen de la entidad con algunos usuarios de relevancia frente al logro de los objetivos</v>
      </c>
      <c r="N16" s="105" t="str">
        <f>IF(OR(M16='Tabla Impacto'!$C$11,M16='Tabla Impacto'!$D$11),"Leve",IF(OR(M16='Tabla Impacto'!$C$12,M16='Tabla Impacto'!$D$12),"Menor",IF(OR(M16='Tabla Impacto'!$C$13,M16='Tabla Impacto'!$D$13),"Moderado",IF(OR(M16='Tabla Impacto'!$C$14,M16='Tabla Impacto'!$D$14),"Mayor",IF(OR(M16='Tabla Impacto'!$C$15,M16='Tabla Impacto'!$D$15),"Catastrófico","")))))</f>
        <v>Moderado</v>
      </c>
      <c r="O16" s="106">
        <f t="shared" si="12"/>
        <v>0.6</v>
      </c>
      <c r="P16" s="108" t="str">
        <f t="shared" si="13"/>
        <v>Moderado</v>
      </c>
      <c r="Q16" s="109">
        <v>1</v>
      </c>
      <c r="R16" s="110" t="s">
        <v>421</v>
      </c>
      <c r="S16" s="192" t="str">
        <f t="shared" si="14"/>
        <v>Probabilidad</v>
      </c>
      <c r="T16" s="111" t="s">
        <v>14</v>
      </c>
      <c r="U16" s="111" t="s">
        <v>9</v>
      </c>
      <c r="V16" s="112" t="str">
        <f t="shared" si="15"/>
        <v>40%</v>
      </c>
      <c r="W16" s="111" t="s">
        <v>19</v>
      </c>
      <c r="X16" s="111" t="s">
        <v>22</v>
      </c>
      <c r="Y16" s="111" t="s">
        <v>100</v>
      </c>
      <c r="Z16" s="113">
        <f t="shared" si="16"/>
        <v>0.36</v>
      </c>
      <c r="AA16" s="114" t="str">
        <f t="shared" si="17"/>
        <v>Baja</v>
      </c>
      <c r="AB16" s="112">
        <f t="shared" si="18"/>
        <v>0.36</v>
      </c>
      <c r="AC16" s="114" t="str">
        <f t="shared" si="19"/>
        <v>Moderado</v>
      </c>
      <c r="AD16" s="112">
        <f t="shared" si="20"/>
        <v>0.6</v>
      </c>
      <c r="AE16" s="115" t="str">
        <f t="shared" si="21"/>
        <v>Moderado</v>
      </c>
      <c r="AF16" s="111" t="s">
        <v>113</v>
      </c>
      <c r="AG16" s="145" t="s">
        <v>475</v>
      </c>
      <c r="AH16" s="145" t="s">
        <v>476</v>
      </c>
      <c r="AI16" s="146">
        <v>44926</v>
      </c>
      <c r="AJ16" s="146" t="s">
        <v>350</v>
      </c>
      <c r="AK16" s="214"/>
      <c r="AL16" s="117"/>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row>
    <row r="17" spans="1:70" ht="151.5" customHeight="1" x14ac:dyDescent="0.3">
      <c r="A17" s="123" t="s">
        <v>188</v>
      </c>
      <c r="B17" s="122" t="s">
        <v>193</v>
      </c>
      <c r="C17" s="468">
        <v>11</v>
      </c>
      <c r="D17" s="462" t="s">
        <v>111</v>
      </c>
      <c r="E17" s="462" t="s">
        <v>364</v>
      </c>
      <c r="F17" s="462" t="s">
        <v>222</v>
      </c>
      <c r="G17" s="469" t="s">
        <v>223</v>
      </c>
      <c r="H17" s="462" t="s">
        <v>365</v>
      </c>
      <c r="I17" s="471">
        <v>240</v>
      </c>
      <c r="J17" s="105" t="str">
        <f t="shared" si="22"/>
        <v>Media</v>
      </c>
      <c r="K17" s="106">
        <f t="shared" si="11"/>
        <v>0.6</v>
      </c>
      <c r="L17" s="107" t="s">
        <v>125</v>
      </c>
      <c r="M17" s="126" t="str">
        <f>IF(NOT(ISERROR(MATCH(L17,_xlfn.ANCHORARRAY(G27),0))),K28&amp;"Por favor no seleccionar los criterios de impacto",L17)</f>
        <v xml:space="preserve">     Entre 50 y 100 SMLMV </v>
      </c>
      <c r="N17" s="105" t="str">
        <f>IF(OR(M17='Tabla Impacto'!$C$11,M17='Tabla Impacto'!$D$11),"Leve",IF(OR(M17='Tabla Impacto'!$C$12,M17='Tabla Impacto'!$D$12),"Menor",IF(OR(M17='Tabla Impacto'!$C$13,M17='Tabla Impacto'!$D$13),"Moderado",IF(OR(M17='Tabla Impacto'!$C$14,M17='Tabla Impacto'!$D$14),"Mayor",IF(OR(M17='Tabla Impacto'!$C$15,M17='Tabla Impacto'!$D$15),"Catastrófico","")))))</f>
        <v>Moderado</v>
      </c>
      <c r="O17" s="106">
        <f t="shared" si="12"/>
        <v>0.6</v>
      </c>
      <c r="P17" s="108" t="str">
        <f t="shared" si="13"/>
        <v>Moderado</v>
      </c>
      <c r="Q17" s="141">
        <v>1</v>
      </c>
      <c r="R17" s="206" t="s">
        <v>402</v>
      </c>
      <c r="S17" s="192" t="str">
        <f t="shared" si="14"/>
        <v>Probabilidad</v>
      </c>
      <c r="T17" s="111" t="s">
        <v>14</v>
      </c>
      <c r="U17" s="111" t="s">
        <v>9</v>
      </c>
      <c r="V17" s="112" t="str">
        <f t="shared" si="15"/>
        <v>40%</v>
      </c>
      <c r="W17" s="111" t="s">
        <v>19</v>
      </c>
      <c r="X17" s="111" t="s">
        <v>22</v>
      </c>
      <c r="Y17" s="111" t="s">
        <v>100</v>
      </c>
      <c r="Z17" s="113">
        <f t="shared" si="16"/>
        <v>0.36</v>
      </c>
      <c r="AA17" s="114" t="str">
        <f t="shared" si="17"/>
        <v>Baja</v>
      </c>
      <c r="AB17" s="112">
        <f t="shared" si="18"/>
        <v>0.36</v>
      </c>
      <c r="AC17" s="114" t="str">
        <f t="shared" si="19"/>
        <v>Moderado</v>
      </c>
      <c r="AD17" s="112">
        <f t="shared" si="20"/>
        <v>0.6</v>
      </c>
      <c r="AE17" s="115" t="str">
        <f t="shared" si="21"/>
        <v>Moderado</v>
      </c>
      <c r="AF17" s="111" t="s">
        <v>31</v>
      </c>
      <c r="AG17" s="145"/>
      <c r="AH17" s="211"/>
      <c r="AI17" s="146"/>
      <c r="AJ17" s="146"/>
      <c r="AK17" s="214"/>
      <c r="AL17" s="117"/>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row>
    <row r="18" spans="1:70" ht="151.5" customHeight="1" x14ac:dyDescent="0.3">
      <c r="A18" s="123" t="s">
        <v>188</v>
      </c>
      <c r="B18" s="122" t="s">
        <v>194</v>
      </c>
      <c r="C18" s="468">
        <v>13</v>
      </c>
      <c r="D18" s="462" t="s">
        <v>111</v>
      </c>
      <c r="E18" s="462" t="s">
        <v>239</v>
      </c>
      <c r="F18" s="462" t="s">
        <v>240</v>
      </c>
      <c r="G18" s="469" t="s">
        <v>241</v>
      </c>
      <c r="H18" s="462" t="s">
        <v>355</v>
      </c>
      <c r="I18" s="463">
        <v>246</v>
      </c>
      <c r="J18" s="105" t="str">
        <f t="shared" si="22"/>
        <v>Media</v>
      </c>
      <c r="K18" s="106">
        <f t="shared" si="11"/>
        <v>0.6</v>
      </c>
      <c r="L18" s="107" t="s">
        <v>125</v>
      </c>
      <c r="M18" s="126" t="str">
        <f>IF(NOT(ISERROR(MATCH(L18,'Tabla Impacto'!$B$221:$B$223,0))),'Tabla Impacto'!$F$223&amp;"Por favor no seleccionar los criterios de impacto(Afectación Económica o presupuestal y Pérdida Reputacional)",L18)</f>
        <v xml:space="preserve">     Entre 50 y 100 SMLMV </v>
      </c>
      <c r="N18" s="105" t="str">
        <f>IF(OR(M18='Tabla Impacto'!$C$11,M18='Tabla Impacto'!$D$11),"Leve",IF(OR(M18='Tabla Impacto'!$C$12,M18='Tabla Impacto'!$D$12),"Menor",IF(OR(M18='Tabla Impacto'!$C$13,M18='Tabla Impacto'!$D$13),"Moderado",IF(OR(M18='Tabla Impacto'!$C$14,M18='Tabla Impacto'!$D$14),"Mayor",IF(OR(M18='Tabla Impacto'!$C$15,M18='Tabla Impacto'!$D$15),"Catastrófico","")))))</f>
        <v>Moderado</v>
      </c>
      <c r="O18" s="106">
        <f t="shared" si="12"/>
        <v>0.6</v>
      </c>
      <c r="P18" s="108" t="str">
        <f t="shared" si="13"/>
        <v>Moderado</v>
      </c>
      <c r="Q18" s="141">
        <v>1</v>
      </c>
      <c r="R18" s="110" t="s">
        <v>366</v>
      </c>
      <c r="S18" s="192" t="str">
        <f t="shared" si="14"/>
        <v>Probabilidad</v>
      </c>
      <c r="T18" s="111" t="s">
        <v>15</v>
      </c>
      <c r="U18" s="111" t="s">
        <v>9</v>
      </c>
      <c r="V18" s="112" t="str">
        <f t="shared" si="15"/>
        <v>30%</v>
      </c>
      <c r="W18" s="111" t="s">
        <v>19</v>
      </c>
      <c r="X18" s="111" t="s">
        <v>22</v>
      </c>
      <c r="Y18" s="111" t="s">
        <v>100</v>
      </c>
      <c r="Z18" s="113">
        <f t="shared" si="16"/>
        <v>0.42</v>
      </c>
      <c r="AA18" s="114" t="str">
        <f t="shared" si="17"/>
        <v>Media</v>
      </c>
      <c r="AB18" s="112">
        <f t="shared" si="18"/>
        <v>0.42</v>
      </c>
      <c r="AC18" s="114" t="str">
        <f t="shared" si="19"/>
        <v>Moderado</v>
      </c>
      <c r="AD18" s="112">
        <f t="shared" si="20"/>
        <v>0.6</v>
      </c>
      <c r="AE18" s="115" t="str">
        <f t="shared" si="21"/>
        <v>Moderado</v>
      </c>
      <c r="AF18" s="111" t="s">
        <v>31</v>
      </c>
      <c r="AG18" s="145"/>
      <c r="AH18" s="211"/>
      <c r="AI18" s="146"/>
      <c r="AJ18" s="146"/>
      <c r="AK18" s="214"/>
      <c r="AL18" s="117"/>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row>
    <row r="19" spans="1:70" ht="177" customHeight="1" x14ac:dyDescent="0.3">
      <c r="A19" s="292" t="s">
        <v>211</v>
      </c>
      <c r="B19" s="205" t="s">
        <v>194</v>
      </c>
      <c r="C19" s="460">
        <v>14</v>
      </c>
      <c r="D19" s="462" t="s">
        <v>111</v>
      </c>
      <c r="E19" s="272" t="s">
        <v>243</v>
      </c>
      <c r="F19" s="272" t="s">
        <v>244</v>
      </c>
      <c r="G19" s="461" t="s">
        <v>242</v>
      </c>
      <c r="H19" s="462" t="s">
        <v>355</v>
      </c>
      <c r="I19" s="463">
        <v>52</v>
      </c>
      <c r="J19" s="105" t="str">
        <f t="shared" si="22"/>
        <v>Media</v>
      </c>
      <c r="K19" s="106">
        <f t="shared" si="11"/>
        <v>0.6</v>
      </c>
      <c r="L19" s="107" t="s">
        <v>125</v>
      </c>
      <c r="M19" s="126" t="str">
        <f>IF(NOT(ISERROR(MATCH(L19,_xlfn.ANCHORARRAY(G29),0))),K31&amp;"Por favor no seleccionar los criterios de impacto",L19)</f>
        <v xml:space="preserve">     Entre 50 y 100 SMLMV </v>
      </c>
      <c r="N19" s="105" t="str">
        <f>IF(OR(M19='Tabla Impacto'!$C$11,M19='Tabla Impacto'!$D$11),"Leve",IF(OR(M19='Tabla Impacto'!$C$12,M19='Tabla Impacto'!$D$12),"Menor",IF(OR(M19='Tabla Impacto'!$C$13,M19='Tabla Impacto'!$D$13),"Moderado",IF(OR(M19='Tabla Impacto'!$C$14,M19='Tabla Impacto'!$D$14),"Mayor",IF(OR(M19='Tabla Impacto'!$C$15,M19='Tabla Impacto'!$D$15),"Catastrófico","")))))</f>
        <v>Moderado</v>
      </c>
      <c r="O19" s="106">
        <f t="shared" si="12"/>
        <v>0.6</v>
      </c>
      <c r="P19" s="108" t="str">
        <f t="shared" si="13"/>
        <v>Moderado</v>
      </c>
      <c r="Q19" s="141">
        <v>1</v>
      </c>
      <c r="R19" s="142" t="s">
        <v>323</v>
      </c>
      <c r="S19" s="192" t="str">
        <f t="shared" si="14"/>
        <v>Probabilidad</v>
      </c>
      <c r="T19" s="111" t="s">
        <v>14</v>
      </c>
      <c r="U19" s="111" t="s">
        <v>9</v>
      </c>
      <c r="V19" s="112" t="str">
        <f t="shared" si="15"/>
        <v>40%</v>
      </c>
      <c r="W19" s="111" t="s">
        <v>19</v>
      </c>
      <c r="X19" s="111" t="s">
        <v>22</v>
      </c>
      <c r="Y19" s="111" t="s">
        <v>100</v>
      </c>
      <c r="Z19" s="113">
        <f t="shared" si="16"/>
        <v>0.36</v>
      </c>
      <c r="AA19" s="114" t="str">
        <f t="shared" si="17"/>
        <v>Baja</v>
      </c>
      <c r="AB19" s="112">
        <f t="shared" si="18"/>
        <v>0.36</v>
      </c>
      <c r="AC19" s="114" t="str">
        <f t="shared" si="19"/>
        <v>Moderado</v>
      </c>
      <c r="AD19" s="112">
        <f t="shared" si="20"/>
        <v>0.6</v>
      </c>
      <c r="AE19" s="115" t="str">
        <f t="shared" si="21"/>
        <v>Moderado</v>
      </c>
      <c r="AF19" s="270" t="s">
        <v>31</v>
      </c>
      <c r="AG19" s="145"/>
      <c r="AH19" s="211"/>
      <c r="AI19" s="146"/>
      <c r="AJ19" s="146"/>
      <c r="AK19" s="214"/>
      <c r="AL19" s="117"/>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row>
    <row r="20" spans="1:70" ht="177" customHeight="1" x14ac:dyDescent="0.3">
      <c r="A20" s="294"/>
      <c r="B20" s="205" t="s">
        <v>194</v>
      </c>
      <c r="C20" s="466"/>
      <c r="D20" s="462" t="s">
        <v>111</v>
      </c>
      <c r="E20" s="273"/>
      <c r="F20" s="273"/>
      <c r="G20" s="467"/>
      <c r="H20" s="462" t="s">
        <v>355</v>
      </c>
      <c r="I20" s="463">
        <v>52</v>
      </c>
      <c r="J20" s="105" t="str">
        <f t="shared" si="22"/>
        <v>Media</v>
      </c>
      <c r="K20" s="106">
        <f t="shared" si="11"/>
        <v>0.6</v>
      </c>
      <c r="L20" s="107" t="s">
        <v>125</v>
      </c>
      <c r="M20" s="126" t="str">
        <f>IF(NOT(ISERROR(MATCH(L20,_xlfn.ANCHORARRAY(G30),0))),K33&amp;"Por favor no seleccionar los criterios de impacto",L20)</f>
        <v xml:space="preserve">     Entre 50 y 100 SMLMV </v>
      </c>
      <c r="N20" s="105" t="str">
        <f>IF(OR(M20='Tabla Impacto'!$C$11,M20='Tabla Impacto'!$D$11),"Leve",IF(OR(M20='Tabla Impacto'!$C$12,M20='Tabla Impacto'!$D$12),"Menor",IF(OR(M20='Tabla Impacto'!$C$13,M20='Tabla Impacto'!$D$13),"Moderado",IF(OR(M20='Tabla Impacto'!$C$14,M20='Tabla Impacto'!$D$14),"Mayor",IF(OR(M20='Tabla Impacto'!$C$15,M20='Tabla Impacto'!$D$15),"Catastrófico","")))))</f>
        <v>Moderado</v>
      </c>
      <c r="O20" s="106">
        <f t="shared" si="12"/>
        <v>0.6</v>
      </c>
      <c r="P20" s="108" t="str">
        <f t="shared" si="13"/>
        <v>Moderado</v>
      </c>
      <c r="Q20" s="141">
        <v>2</v>
      </c>
      <c r="R20" s="142" t="s">
        <v>324</v>
      </c>
      <c r="S20" s="192" t="str">
        <f t="shared" si="14"/>
        <v>Probabilidad</v>
      </c>
      <c r="T20" s="111" t="s">
        <v>14</v>
      </c>
      <c r="U20" s="111" t="s">
        <v>9</v>
      </c>
      <c r="V20" s="112" t="str">
        <f t="shared" si="15"/>
        <v>40%</v>
      </c>
      <c r="W20" s="111" t="s">
        <v>19</v>
      </c>
      <c r="X20" s="111" t="s">
        <v>22</v>
      </c>
      <c r="Y20" s="111" t="s">
        <v>100</v>
      </c>
      <c r="Z20" s="113">
        <f t="shared" si="16"/>
        <v>0.36</v>
      </c>
      <c r="AA20" s="114" t="str">
        <f t="shared" si="17"/>
        <v>Baja</v>
      </c>
      <c r="AB20" s="112">
        <f t="shared" si="18"/>
        <v>0.36</v>
      </c>
      <c r="AC20" s="114" t="str">
        <f t="shared" si="19"/>
        <v>Moderado</v>
      </c>
      <c r="AD20" s="112">
        <f t="shared" si="20"/>
        <v>0.6</v>
      </c>
      <c r="AE20" s="115" t="str">
        <f t="shared" si="21"/>
        <v>Moderado</v>
      </c>
      <c r="AF20" s="271"/>
      <c r="AG20" s="145"/>
      <c r="AH20" s="211"/>
      <c r="AI20" s="146"/>
      <c r="AJ20" s="146"/>
      <c r="AK20" s="214"/>
      <c r="AL20" s="117"/>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row>
    <row r="21" spans="1:70" ht="151.5" customHeight="1" x14ac:dyDescent="0.3">
      <c r="A21" s="292" t="s">
        <v>188</v>
      </c>
      <c r="B21" s="122" t="s">
        <v>195</v>
      </c>
      <c r="C21" s="460">
        <v>15</v>
      </c>
      <c r="D21" s="272" t="s">
        <v>109</v>
      </c>
      <c r="E21" s="272" t="s">
        <v>221</v>
      </c>
      <c r="F21" s="272" t="s">
        <v>220</v>
      </c>
      <c r="G21" s="461" t="s">
        <v>367</v>
      </c>
      <c r="H21" s="462" t="s">
        <v>355</v>
      </c>
      <c r="I21" s="472">
        <v>60</v>
      </c>
      <c r="J21" s="105" t="str">
        <f t="shared" si="22"/>
        <v>Media</v>
      </c>
      <c r="K21" s="106">
        <f t="shared" si="11"/>
        <v>0.6</v>
      </c>
      <c r="L21" s="107" t="s">
        <v>131</v>
      </c>
      <c r="M21" s="126" t="str">
        <f>IF(NOT(ISERROR(MATCH(L21,_xlfn.ANCHORARRAY(G30),0))),K33&amp;"Por favor no seleccionar los criterios de impacto",L21)</f>
        <v xml:space="preserve">     El riesgo afecta la imagen de la entidad con algunos usuarios de relevancia frente al logro de los objetivos</v>
      </c>
      <c r="N21" s="105" t="str">
        <f>IF(OR(M21='Tabla Impacto'!$C$11,M21='Tabla Impacto'!$D$11),"Leve",IF(OR(M21='Tabla Impacto'!$C$12,M21='Tabla Impacto'!$D$12),"Menor",IF(OR(M21='Tabla Impacto'!$C$13,M21='Tabla Impacto'!$D$13),"Moderado",IF(OR(M21='Tabla Impacto'!$C$14,M21='Tabla Impacto'!$D$14),"Mayor",IF(OR(M21='Tabla Impacto'!$C$15,M21='Tabla Impacto'!$D$15),"Catastrófico","")))))</f>
        <v>Moderado</v>
      </c>
      <c r="O21" s="106">
        <f t="shared" si="12"/>
        <v>0.6</v>
      </c>
      <c r="P21" s="108" t="str">
        <f t="shared" si="13"/>
        <v>Moderado</v>
      </c>
      <c r="Q21" s="141">
        <v>1</v>
      </c>
      <c r="R21" s="145" t="s">
        <v>368</v>
      </c>
      <c r="S21" s="192" t="str">
        <f t="shared" si="14"/>
        <v>Probabilidad</v>
      </c>
      <c r="T21" s="111" t="s">
        <v>15</v>
      </c>
      <c r="U21" s="111" t="s">
        <v>9</v>
      </c>
      <c r="V21" s="112" t="str">
        <f t="shared" si="15"/>
        <v>30%</v>
      </c>
      <c r="W21" s="111" t="s">
        <v>19</v>
      </c>
      <c r="X21" s="111" t="s">
        <v>22</v>
      </c>
      <c r="Y21" s="111" t="s">
        <v>100</v>
      </c>
      <c r="Z21" s="113">
        <f t="shared" si="16"/>
        <v>0.42</v>
      </c>
      <c r="AA21" s="114" t="str">
        <f t="shared" si="17"/>
        <v>Media</v>
      </c>
      <c r="AB21" s="112">
        <f t="shared" si="18"/>
        <v>0.42</v>
      </c>
      <c r="AC21" s="114" t="str">
        <f t="shared" si="19"/>
        <v>Moderado</v>
      </c>
      <c r="AD21" s="112">
        <f t="shared" si="20"/>
        <v>0.6</v>
      </c>
      <c r="AE21" s="115" t="str">
        <f t="shared" si="21"/>
        <v>Moderado</v>
      </c>
      <c r="AF21" s="270" t="s">
        <v>31</v>
      </c>
      <c r="AG21" s="145"/>
      <c r="AH21" s="211"/>
      <c r="AI21" s="146"/>
      <c r="AJ21" s="146"/>
      <c r="AK21" s="214"/>
      <c r="AL21" s="266"/>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row>
    <row r="22" spans="1:70" ht="151.5" customHeight="1" x14ac:dyDescent="0.3">
      <c r="A22" s="294"/>
      <c r="B22" s="122" t="s">
        <v>195</v>
      </c>
      <c r="C22" s="466"/>
      <c r="D22" s="273"/>
      <c r="E22" s="273"/>
      <c r="F22" s="273"/>
      <c r="G22" s="467"/>
      <c r="H22" s="473" t="s">
        <v>355</v>
      </c>
      <c r="I22" s="472">
        <v>60</v>
      </c>
      <c r="J22" s="105" t="str">
        <f t="shared" si="22"/>
        <v>Media</v>
      </c>
      <c r="K22" s="106">
        <f t="shared" si="11"/>
        <v>0.6</v>
      </c>
      <c r="L22" s="107" t="s">
        <v>131</v>
      </c>
      <c r="M22" s="126" t="str">
        <f>IF(NOT(ISERROR(MATCH(L22,_xlfn.ANCHORARRAY(G31),0))),K34&amp;"Por favor no seleccionar los criterios de impacto",L22)</f>
        <v xml:space="preserve">     El riesgo afecta la imagen de la entidad con algunos usuarios de relevancia frente al logro de los objetivos</v>
      </c>
      <c r="N22" s="105" t="str">
        <f>IF(OR(M22='Tabla Impacto'!$C$11,M22='Tabla Impacto'!$D$11),"Leve",IF(OR(M22='Tabla Impacto'!$C$12,M22='Tabla Impacto'!$D$12),"Menor",IF(OR(M22='Tabla Impacto'!$C$13,M22='Tabla Impacto'!$D$13),"Moderado",IF(OR(M22='Tabla Impacto'!$C$14,M22='Tabla Impacto'!$D$14),"Mayor",IF(OR(M22='Tabla Impacto'!$C$15,M22='Tabla Impacto'!$D$15),"Catastrófico","")))))</f>
        <v>Moderado</v>
      </c>
      <c r="O22" s="106">
        <f t="shared" si="12"/>
        <v>0.6</v>
      </c>
      <c r="P22" s="108" t="str">
        <f t="shared" si="13"/>
        <v>Moderado</v>
      </c>
      <c r="Q22" s="141">
        <v>2</v>
      </c>
      <c r="R22" s="145" t="s">
        <v>317</v>
      </c>
      <c r="S22" s="192" t="str">
        <f t="shared" si="14"/>
        <v>Impacto</v>
      </c>
      <c r="T22" s="111" t="s">
        <v>16</v>
      </c>
      <c r="U22" s="111" t="s">
        <v>9</v>
      </c>
      <c r="V22" s="112" t="str">
        <f t="shared" si="15"/>
        <v>25%</v>
      </c>
      <c r="W22" s="111" t="s">
        <v>19</v>
      </c>
      <c r="X22" s="111" t="s">
        <v>22</v>
      </c>
      <c r="Y22" s="111" t="s">
        <v>100</v>
      </c>
      <c r="Z22" s="113">
        <f t="shared" si="16"/>
        <v>0.6</v>
      </c>
      <c r="AA22" s="114" t="str">
        <f t="shared" si="17"/>
        <v>Media</v>
      </c>
      <c r="AB22" s="112">
        <f t="shared" si="18"/>
        <v>0.6</v>
      </c>
      <c r="AC22" s="114" t="str">
        <f t="shared" si="19"/>
        <v>Moderado</v>
      </c>
      <c r="AD22" s="112">
        <f t="shared" si="20"/>
        <v>0.44999999999999996</v>
      </c>
      <c r="AE22" s="115" t="str">
        <f t="shared" si="21"/>
        <v>Moderado</v>
      </c>
      <c r="AF22" s="271"/>
      <c r="AG22" s="145"/>
      <c r="AH22" s="211"/>
      <c r="AI22" s="146"/>
      <c r="AJ22" s="146"/>
      <c r="AK22" s="214"/>
      <c r="AL22" s="267"/>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row>
    <row r="23" spans="1:70" ht="151.5" customHeight="1" x14ac:dyDescent="0.3">
      <c r="A23" s="123" t="s">
        <v>197</v>
      </c>
      <c r="B23" s="122" t="s">
        <v>196</v>
      </c>
      <c r="C23" s="468">
        <v>17</v>
      </c>
      <c r="D23" s="462" t="s">
        <v>109</v>
      </c>
      <c r="E23" s="462" t="s">
        <v>352</v>
      </c>
      <c r="F23" s="462" t="s">
        <v>351</v>
      </c>
      <c r="G23" s="469" t="s">
        <v>369</v>
      </c>
      <c r="H23" s="462" t="s">
        <v>355</v>
      </c>
      <c r="I23" s="474">
        <v>76</v>
      </c>
      <c r="J23" s="105" t="str">
        <f t="shared" si="22"/>
        <v>Media</v>
      </c>
      <c r="K23" s="106">
        <f t="shared" si="11"/>
        <v>0.6</v>
      </c>
      <c r="L23" s="107" t="s">
        <v>131</v>
      </c>
      <c r="M23" s="126" t="str">
        <f>IF(NOT(ISERROR(MATCH(L23,_xlfn.ANCHORARRAY(G33),0))),#REF!&amp;"Por favor no seleccionar los criterios de impacto",L23)</f>
        <v xml:space="preserve">     El riesgo afecta la imagen de la entidad con algunos usuarios de relevancia frente al logro de los objetivos</v>
      </c>
      <c r="N23" s="105" t="str">
        <f>IF(OR(M23='Tabla Impacto'!$C$11,M23='Tabla Impacto'!$D$11),"Leve",IF(OR(M23='Tabla Impacto'!$C$12,M23='Tabla Impacto'!$D$12),"Menor",IF(OR(M23='Tabla Impacto'!$C$13,M23='Tabla Impacto'!$D$13),"Moderado",IF(OR(M23='Tabla Impacto'!$C$14,M23='Tabla Impacto'!$D$14),"Mayor",IF(OR(M23='Tabla Impacto'!$C$15,M23='Tabla Impacto'!$D$15),"Catastrófico","")))))</f>
        <v>Moderado</v>
      </c>
      <c r="O23" s="106">
        <f t="shared" si="12"/>
        <v>0.6</v>
      </c>
      <c r="P23" s="108" t="str">
        <f t="shared" si="13"/>
        <v>Moderado</v>
      </c>
      <c r="Q23" s="141">
        <v>1</v>
      </c>
      <c r="R23" s="110" t="s">
        <v>353</v>
      </c>
      <c r="S23" s="192" t="str">
        <f t="shared" si="14"/>
        <v>Probabilidad</v>
      </c>
      <c r="T23" s="111" t="s">
        <v>14</v>
      </c>
      <c r="U23" s="111" t="s">
        <v>9</v>
      </c>
      <c r="V23" s="112" t="str">
        <f t="shared" si="15"/>
        <v>40%</v>
      </c>
      <c r="W23" s="111" t="s">
        <v>19</v>
      </c>
      <c r="X23" s="111" t="s">
        <v>22</v>
      </c>
      <c r="Y23" s="111" t="s">
        <v>100</v>
      </c>
      <c r="Z23" s="113">
        <f t="shared" si="16"/>
        <v>0.36</v>
      </c>
      <c r="AA23" s="114" t="str">
        <f t="shared" si="17"/>
        <v>Baja</v>
      </c>
      <c r="AB23" s="112">
        <f t="shared" si="18"/>
        <v>0.36</v>
      </c>
      <c r="AC23" s="114" t="str">
        <f t="shared" si="19"/>
        <v>Moderado</v>
      </c>
      <c r="AD23" s="112">
        <f t="shared" si="20"/>
        <v>0.6</v>
      </c>
      <c r="AE23" s="115" t="str">
        <f t="shared" si="21"/>
        <v>Moderado</v>
      </c>
      <c r="AF23" s="111" t="s">
        <v>31</v>
      </c>
      <c r="AG23" s="145"/>
      <c r="AH23" s="211"/>
      <c r="AI23" s="146"/>
      <c r="AJ23" s="146"/>
      <c r="AK23" s="214"/>
      <c r="AL23" s="117"/>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row>
    <row r="24" spans="1:70" ht="151.5" customHeight="1" x14ac:dyDescent="0.3">
      <c r="A24" s="220" t="s">
        <v>198</v>
      </c>
      <c r="B24" s="122" t="s">
        <v>198</v>
      </c>
      <c r="C24" s="468">
        <v>18</v>
      </c>
      <c r="D24" s="462" t="s">
        <v>109</v>
      </c>
      <c r="E24" s="462" t="s">
        <v>296</v>
      </c>
      <c r="F24" s="462" t="s">
        <v>295</v>
      </c>
      <c r="G24" s="469" t="s">
        <v>294</v>
      </c>
      <c r="H24" s="462" t="s">
        <v>107</v>
      </c>
      <c r="I24" s="463">
        <v>1080</v>
      </c>
      <c r="J24" s="105" t="str">
        <f t="shared" si="22"/>
        <v>Alta</v>
      </c>
      <c r="K24" s="106">
        <f t="shared" si="11"/>
        <v>0.8</v>
      </c>
      <c r="L24" s="107" t="s">
        <v>132</v>
      </c>
      <c r="M24" s="126" t="str">
        <f>IF(NOT(ISERROR(MATCH(L24,_xlfn.ANCHORARRAY(G34),0))),#REF!&amp;"Por favor no seleccionar los criterios de impacto",L24)</f>
        <v xml:space="preserve">     El riesgo afecta la imagen de de la entidad con efecto publicitario sostenido a nivel de sector administrativo, nivel departamental o municipal</v>
      </c>
      <c r="N24" s="105" t="str">
        <f>IF(OR(M24='Tabla Impacto'!$C$11,M24='Tabla Impacto'!$D$11),"Leve",IF(OR(M24='Tabla Impacto'!$C$12,M24='Tabla Impacto'!$D$12),"Menor",IF(OR(M24='Tabla Impacto'!$C$13,M24='Tabla Impacto'!$D$13),"Moderado",IF(OR(M24='Tabla Impacto'!$C$14,M24='Tabla Impacto'!$D$14),"Mayor",IF(OR(M24='Tabla Impacto'!$C$15,M24='Tabla Impacto'!$D$15),"Catastrófico","")))))</f>
        <v>Mayor</v>
      </c>
      <c r="O24" s="106">
        <f t="shared" si="12"/>
        <v>0.8</v>
      </c>
      <c r="P24" s="108" t="str">
        <f t="shared" si="13"/>
        <v>Alto</v>
      </c>
      <c r="Q24" s="141">
        <v>1</v>
      </c>
      <c r="R24" s="142" t="s">
        <v>298</v>
      </c>
      <c r="S24" s="192" t="str">
        <f t="shared" si="14"/>
        <v>Probabilidad</v>
      </c>
      <c r="T24" s="111" t="s">
        <v>14</v>
      </c>
      <c r="U24" s="111" t="s">
        <v>10</v>
      </c>
      <c r="V24" s="112" t="str">
        <f t="shared" si="15"/>
        <v>50%</v>
      </c>
      <c r="W24" s="111" t="s">
        <v>19</v>
      </c>
      <c r="X24" s="111" t="s">
        <v>22</v>
      </c>
      <c r="Y24" s="111" t="s">
        <v>100</v>
      </c>
      <c r="Z24" s="113">
        <f t="shared" si="16"/>
        <v>0.4</v>
      </c>
      <c r="AA24" s="114" t="str">
        <f t="shared" si="17"/>
        <v>Baja</v>
      </c>
      <c r="AB24" s="112">
        <f t="shared" si="18"/>
        <v>0.4</v>
      </c>
      <c r="AC24" s="114" t="str">
        <f t="shared" si="19"/>
        <v>Mayor</v>
      </c>
      <c r="AD24" s="112">
        <f t="shared" si="20"/>
        <v>0.8</v>
      </c>
      <c r="AE24" s="115" t="str">
        <f t="shared" si="21"/>
        <v>Alto</v>
      </c>
      <c r="AF24" s="111" t="s">
        <v>113</v>
      </c>
      <c r="AG24" s="145" t="s">
        <v>299</v>
      </c>
      <c r="AH24" s="145" t="s">
        <v>300</v>
      </c>
      <c r="AI24" s="146">
        <v>44926</v>
      </c>
      <c r="AJ24" s="146" t="s">
        <v>350</v>
      </c>
      <c r="AK24" s="214"/>
      <c r="AL24" s="217"/>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row>
    <row r="25" spans="1:70" ht="217.5" customHeight="1" x14ac:dyDescent="0.3">
      <c r="A25" s="220" t="s">
        <v>198</v>
      </c>
      <c r="B25" s="122" t="s">
        <v>198</v>
      </c>
      <c r="C25" s="468">
        <v>19</v>
      </c>
      <c r="D25" s="462" t="s">
        <v>111</v>
      </c>
      <c r="E25" s="462" t="s">
        <v>370</v>
      </c>
      <c r="F25" s="462" t="s">
        <v>297</v>
      </c>
      <c r="G25" s="469" t="s">
        <v>301</v>
      </c>
      <c r="H25" s="462" t="s">
        <v>107</v>
      </c>
      <c r="I25" s="463">
        <v>900</v>
      </c>
      <c r="J25" s="105" t="str">
        <f>IF(I25&lt;=0,"",IF(I25&lt;=2,"Muy Baja",IF(I25&lt;=24,"Baja",IF(I25&lt;=500,"Media",IF(I25&lt;=5000,"Alta","Muy Alta")))))</f>
        <v>Alta</v>
      </c>
      <c r="K25" s="106">
        <f t="shared" si="11"/>
        <v>0.8</v>
      </c>
      <c r="L25" s="107" t="s">
        <v>127</v>
      </c>
      <c r="M25" s="126" t="str">
        <f>IF(NOT(ISERROR(MATCH(L25,'Tabla Impacto'!$B$221:$B$223,0))),'Tabla Impacto'!$F$223&amp;"Por favor no seleccionar los criterios de impacto(Afectación Económica o presupuestal y Pérdida Reputacional)",L25)</f>
        <v xml:space="preserve">     Entre 100 y 500 SMLMV </v>
      </c>
      <c r="N25" s="105" t="str">
        <f>IF(OR(M25='Tabla Impacto'!$C$11,M25='Tabla Impacto'!$D$11),"Leve",IF(OR(M25='Tabla Impacto'!$C$12,M25='Tabla Impacto'!$D$12),"Menor",IF(OR(M25='Tabla Impacto'!$C$13,M25='Tabla Impacto'!$D$13),"Moderado",IF(OR(M25='Tabla Impacto'!$C$14,M25='Tabla Impacto'!$D$14),"Mayor",IF(OR(M25='Tabla Impacto'!$C$15,M25='Tabla Impacto'!$D$15),"Catastrófico","")))))</f>
        <v>Mayor</v>
      </c>
      <c r="O25" s="106">
        <f t="shared" si="12"/>
        <v>0.8</v>
      </c>
      <c r="P25" s="108" t="str">
        <f t="shared" si="13"/>
        <v>Alto</v>
      </c>
      <c r="Q25" s="141">
        <v>1</v>
      </c>
      <c r="R25" s="142" t="s">
        <v>371</v>
      </c>
      <c r="S25" s="192" t="str">
        <f t="shared" si="14"/>
        <v>Probabilidad</v>
      </c>
      <c r="T25" s="111" t="s">
        <v>14</v>
      </c>
      <c r="U25" s="111" t="s">
        <v>9</v>
      </c>
      <c r="V25" s="112" t="str">
        <f t="shared" si="15"/>
        <v>40%</v>
      </c>
      <c r="W25" s="111" t="s">
        <v>19</v>
      </c>
      <c r="X25" s="111" t="s">
        <v>23</v>
      </c>
      <c r="Y25" s="111" t="s">
        <v>100</v>
      </c>
      <c r="Z25" s="113">
        <f t="shared" si="16"/>
        <v>0.48</v>
      </c>
      <c r="AA25" s="114" t="str">
        <f t="shared" si="17"/>
        <v>Media</v>
      </c>
      <c r="AB25" s="112">
        <f t="shared" si="18"/>
        <v>0.48</v>
      </c>
      <c r="AC25" s="114" t="str">
        <f t="shared" si="19"/>
        <v>Mayor</v>
      </c>
      <c r="AD25" s="112">
        <f t="shared" si="20"/>
        <v>0.8</v>
      </c>
      <c r="AE25" s="115" t="str">
        <f t="shared" si="21"/>
        <v>Alto</v>
      </c>
      <c r="AF25" s="111" t="s">
        <v>113</v>
      </c>
      <c r="AG25" s="145" t="s">
        <v>372</v>
      </c>
      <c r="AH25" s="145" t="s">
        <v>300</v>
      </c>
      <c r="AI25" s="146">
        <v>44926</v>
      </c>
      <c r="AJ25" s="146" t="s">
        <v>350</v>
      </c>
      <c r="AK25" s="214"/>
      <c r="AL25" s="117"/>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row>
    <row r="26" spans="1:70" ht="151.5" customHeight="1" x14ac:dyDescent="0.3">
      <c r="A26" s="122" t="s">
        <v>199</v>
      </c>
      <c r="B26" s="122" t="s">
        <v>199</v>
      </c>
      <c r="C26" s="468">
        <v>21</v>
      </c>
      <c r="D26" s="462" t="s">
        <v>111</v>
      </c>
      <c r="E26" s="462" t="s">
        <v>232</v>
      </c>
      <c r="F26" s="462" t="s">
        <v>373</v>
      </c>
      <c r="G26" s="469" t="s">
        <v>233</v>
      </c>
      <c r="H26" s="462" t="s">
        <v>107</v>
      </c>
      <c r="I26" s="463">
        <v>365</v>
      </c>
      <c r="J26" s="105" t="str">
        <f t="shared" ref="J26:J66" si="23">IF(I26&lt;=0,"",IF(I26&lt;=2,"Muy Baja",IF(I26&lt;=24,"Baja",IF(I26&lt;=500,"Media",IF(I26&lt;=5000,"Alta","Muy Alta")))))</f>
        <v>Media</v>
      </c>
      <c r="K26" s="106">
        <f t="shared" si="11"/>
        <v>0.6</v>
      </c>
      <c r="L26" s="107" t="s">
        <v>131</v>
      </c>
      <c r="M26" s="126" t="str">
        <f>IF(NOT(ISERROR(MATCH(L26,_xlfn.ANCHORARRAY(G35),0))),K36&amp;"Por favor no seleccionar los criterios de impacto",L26)</f>
        <v xml:space="preserve">     El riesgo afecta la imagen de la entidad con algunos usuarios de relevancia frente al logro de los objetivos</v>
      </c>
      <c r="N26" s="105" t="str">
        <f>IF(OR(M26='Tabla Impacto'!$C$11,M26='Tabla Impacto'!$D$11),"Leve",IF(OR(M26='Tabla Impacto'!$C$12,M26='Tabla Impacto'!$D$12),"Menor",IF(OR(M26='Tabla Impacto'!$C$13,M26='Tabla Impacto'!$D$13),"Moderado",IF(OR(M26='Tabla Impacto'!$C$14,M26='Tabla Impacto'!$D$14),"Mayor",IF(OR(M26='Tabla Impacto'!$C$15,M26='Tabla Impacto'!$D$15),"Catastrófico","")))))</f>
        <v>Moderado</v>
      </c>
      <c r="O26" s="106">
        <f t="shared" si="12"/>
        <v>0.6</v>
      </c>
      <c r="P26" s="108" t="str">
        <f t="shared" si="13"/>
        <v>Moderado</v>
      </c>
      <c r="Q26" s="141">
        <v>1</v>
      </c>
      <c r="R26" s="145" t="s">
        <v>327</v>
      </c>
      <c r="S26" s="192" t="str">
        <f t="shared" si="14"/>
        <v>Impacto</v>
      </c>
      <c r="T26" s="111" t="s">
        <v>16</v>
      </c>
      <c r="U26" s="111" t="s">
        <v>9</v>
      </c>
      <c r="V26" s="112" t="str">
        <f t="shared" si="15"/>
        <v>25%</v>
      </c>
      <c r="W26" s="111" t="s">
        <v>19</v>
      </c>
      <c r="X26" s="111" t="s">
        <v>23</v>
      </c>
      <c r="Y26" s="111" t="s">
        <v>100</v>
      </c>
      <c r="Z26" s="113">
        <f t="shared" si="16"/>
        <v>0.6</v>
      </c>
      <c r="AA26" s="114" t="str">
        <f t="shared" si="17"/>
        <v>Media</v>
      </c>
      <c r="AB26" s="112">
        <f t="shared" si="18"/>
        <v>0.6</v>
      </c>
      <c r="AC26" s="114" t="str">
        <f t="shared" si="19"/>
        <v>Moderado</v>
      </c>
      <c r="AD26" s="112">
        <f t="shared" si="20"/>
        <v>0.44999999999999996</v>
      </c>
      <c r="AE26" s="115" t="str">
        <f t="shared" si="21"/>
        <v>Moderado</v>
      </c>
      <c r="AF26" s="111" t="s">
        <v>31</v>
      </c>
      <c r="AG26" s="145"/>
      <c r="AH26" s="211"/>
      <c r="AI26" s="146"/>
      <c r="AJ26" s="146"/>
      <c r="AK26" s="214"/>
      <c r="AL26" s="217"/>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row>
    <row r="27" spans="1:70" ht="151.5" customHeight="1" x14ac:dyDescent="0.3">
      <c r="A27" s="122" t="s">
        <v>199</v>
      </c>
      <c r="B27" s="122" t="s">
        <v>199</v>
      </c>
      <c r="C27" s="468">
        <v>22</v>
      </c>
      <c r="D27" s="462" t="s">
        <v>111</v>
      </c>
      <c r="E27" s="462" t="s">
        <v>234</v>
      </c>
      <c r="F27" s="462" t="s">
        <v>374</v>
      </c>
      <c r="G27" s="469" t="s">
        <v>235</v>
      </c>
      <c r="H27" s="462" t="s">
        <v>107</v>
      </c>
      <c r="I27" s="463">
        <v>400</v>
      </c>
      <c r="J27" s="105" t="str">
        <f t="shared" si="23"/>
        <v>Media</v>
      </c>
      <c r="K27" s="106">
        <f t="shared" si="11"/>
        <v>0.6</v>
      </c>
      <c r="L27" s="107" t="s">
        <v>131</v>
      </c>
      <c r="M27" s="126" t="str">
        <f>IF(NOT(ISERROR(MATCH(L27,_xlfn.ANCHORARRAY(#REF!),0))),K37&amp;"Por favor no seleccionar los criterios de impacto",L27)</f>
        <v xml:space="preserve">     El riesgo afecta la imagen de la entidad con algunos usuarios de relevancia frente al logro de los objetivos</v>
      </c>
      <c r="N27" s="105" t="str">
        <f>IF(OR(M27='Tabla Impacto'!$C$11,M27='Tabla Impacto'!$D$11),"Leve",IF(OR(M27='Tabla Impacto'!$C$12,M27='Tabla Impacto'!$D$12),"Menor",IF(OR(M27='Tabla Impacto'!$C$13,M27='Tabla Impacto'!$D$13),"Moderado",IF(OR(M27='Tabla Impacto'!$C$14,M27='Tabla Impacto'!$D$14),"Mayor",IF(OR(M27='Tabla Impacto'!$C$15,M27='Tabla Impacto'!$D$15),"Catastrófico","")))))</f>
        <v>Moderado</v>
      </c>
      <c r="O27" s="106">
        <f t="shared" si="12"/>
        <v>0.6</v>
      </c>
      <c r="P27" s="108" t="str">
        <f t="shared" si="13"/>
        <v>Moderado</v>
      </c>
      <c r="Q27" s="141">
        <v>1</v>
      </c>
      <c r="R27" s="142" t="s">
        <v>328</v>
      </c>
      <c r="S27" s="192" t="str">
        <f t="shared" si="14"/>
        <v>Probabilidad</v>
      </c>
      <c r="T27" s="111" t="s">
        <v>14</v>
      </c>
      <c r="U27" s="111" t="s">
        <v>9</v>
      </c>
      <c r="V27" s="112" t="str">
        <f t="shared" si="15"/>
        <v>40%</v>
      </c>
      <c r="W27" s="111" t="s">
        <v>20</v>
      </c>
      <c r="X27" s="111" t="s">
        <v>23</v>
      </c>
      <c r="Y27" s="111" t="s">
        <v>100</v>
      </c>
      <c r="Z27" s="113">
        <f t="shared" si="16"/>
        <v>0.36</v>
      </c>
      <c r="AA27" s="114" t="str">
        <f t="shared" si="17"/>
        <v>Baja</v>
      </c>
      <c r="AB27" s="112">
        <f t="shared" si="18"/>
        <v>0.36</v>
      </c>
      <c r="AC27" s="114" t="str">
        <f t="shared" si="19"/>
        <v>Moderado</v>
      </c>
      <c r="AD27" s="112">
        <f t="shared" si="20"/>
        <v>0.6</v>
      </c>
      <c r="AE27" s="115" t="str">
        <f t="shared" si="21"/>
        <v>Moderado</v>
      </c>
      <c r="AF27" s="111" t="s">
        <v>31</v>
      </c>
      <c r="AG27" s="145"/>
      <c r="AH27" s="211"/>
      <c r="AI27" s="146"/>
      <c r="AJ27" s="146"/>
      <c r="AK27" s="214"/>
      <c r="AL27" s="217"/>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row>
    <row r="28" spans="1:70" ht="206.25" customHeight="1" x14ac:dyDescent="0.3">
      <c r="A28" s="122" t="s">
        <v>200</v>
      </c>
      <c r="B28" s="205" t="s">
        <v>200</v>
      </c>
      <c r="C28" s="468">
        <v>24</v>
      </c>
      <c r="D28" s="462" t="s">
        <v>110</v>
      </c>
      <c r="E28" s="462" t="s">
        <v>375</v>
      </c>
      <c r="F28" s="462" t="s">
        <v>247</v>
      </c>
      <c r="G28" s="469" t="s">
        <v>376</v>
      </c>
      <c r="H28" s="470" t="s">
        <v>479</v>
      </c>
      <c r="I28" s="463">
        <v>12000</v>
      </c>
      <c r="J28" s="105" t="str">
        <f t="shared" si="23"/>
        <v>Muy Alta</v>
      </c>
      <c r="K28" s="106">
        <f t="shared" si="11"/>
        <v>1</v>
      </c>
      <c r="L28" s="107" t="s">
        <v>128</v>
      </c>
      <c r="M28" s="126" t="str">
        <f>IF(NOT(ISERROR(MATCH(L28,_xlfn.ANCHORARRAY(G37),0))),#REF!&amp;"Por favor no seleccionar los criterios de impacto",L28)</f>
        <v xml:space="preserve">     Mayor a 500 SMLMV </v>
      </c>
      <c r="N28" s="105" t="str">
        <f>IF(OR(M28='Tabla Impacto'!$C$11,M28='Tabla Impacto'!$D$11),"Leve",IF(OR(M28='Tabla Impacto'!$C$12,M28='Tabla Impacto'!$D$12),"Menor",IF(OR(M28='Tabla Impacto'!$C$13,M28='Tabla Impacto'!$D$13),"Moderado",IF(OR(M28='Tabla Impacto'!$C$14,M28='Tabla Impacto'!$D$14),"Mayor",IF(OR(M28='Tabla Impacto'!$C$15,M28='Tabla Impacto'!$D$15),"Catastrófico","")))))</f>
        <v>Catastrófico</v>
      </c>
      <c r="O28" s="106">
        <f t="shared" si="12"/>
        <v>1</v>
      </c>
      <c r="P28" s="108" t="str">
        <f t="shared" si="13"/>
        <v>Extremo</v>
      </c>
      <c r="Q28" s="141">
        <v>1</v>
      </c>
      <c r="R28" s="206" t="s">
        <v>467</v>
      </c>
      <c r="S28" s="192" t="str">
        <f t="shared" si="14"/>
        <v>Probabilidad</v>
      </c>
      <c r="T28" s="111" t="s">
        <v>14</v>
      </c>
      <c r="U28" s="111" t="s">
        <v>9</v>
      </c>
      <c r="V28" s="112" t="str">
        <f t="shared" si="15"/>
        <v>40%</v>
      </c>
      <c r="W28" s="111" t="s">
        <v>19</v>
      </c>
      <c r="X28" s="111" t="s">
        <v>22</v>
      </c>
      <c r="Y28" s="111" t="s">
        <v>100</v>
      </c>
      <c r="Z28" s="113">
        <f t="shared" si="16"/>
        <v>0.6</v>
      </c>
      <c r="AA28" s="114" t="str">
        <f t="shared" si="17"/>
        <v>Media</v>
      </c>
      <c r="AB28" s="112">
        <f t="shared" si="18"/>
        <v>0.6</v>
      </c>
      <c r="AC28" s="114" t="str">
        <f t="shared" si="19"/>
        <v>Catastrófico</v>
      </c>
      <c r="AD28" s="112">
        <f t="shared" si="20"/>
        <v>1</v>
      </c>
      <c r="AE28" s="115" t="str">
        <f t="shared" si="21"/>
        <v>Extremo</v>
      </c>
      <c r="AF28" s="111"/>
      <c r="AG28" s="451" t="s">
        <v>478</v>
      </c>
      <c r="AH28" s="145" t="s">
        <v>465</v>
      </c>
      <c r="AI28" s="146" t="s">
        <v>466</v>
      </c>
      <c r="AJ28" s="146" t="s">
        <v>350</v>
      </c>
      <c r="AK28" s="214"/>
      <c r="AL28" s="217"/>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row>
    <row r="29" spans="1:70" ht="198.75" customHeight="1" x14ac:dyDescent="0.3">
      <c r="A29" s="122" t="s">
        <v>200</v>
      </c>
      <c r="B29" s="205" t="s">
        <v>200</v>
      </c>
      <c r="C29" s="468">
        <v>25</v>
      </c>
      <c r="D29" s="462" t="s">
        <v>111</v>
      </c>
      <c r="E29" s="462" t="s">
        <v>377</v>
      </c>
      <c r="F29" s="462" t="s">
        <v>248</v>
      </c>
      <c r="G29" s="469" t="s">
        <v>249</v>
      </c>
      <c r="H29" s="462" t="s">
        <v>355</v>
      </c>
      <c r="I29" s="463">
        <v>8000</v>
      </c>
      <c r="J29" s="105" t="str">
        <f t="shared" si="23"/>
        <v>Muy Alta</v>
      </c>
      <c r="K29" s="106">
        <f t="shared" si="11"/>
        <v>1</v>
      </c>
      <c r="L29" s="107" t="s">
        <v>128</v>
      </c>
      <c r="M29" s="126" t="str">
        <f>IF(NOT(ISERROR(MATCH(L29,'Tabla Impacto'!$B$221:$B$223,0))),'Tabla Impacto'!$F$223&amp;"Por favor no seleccionar los criterios de impacto(Afectación Económica o presupuestal y Pérdida Reputacional)",L29)</f>
        <v xml:space="preserve">     Mayor a 500 SMLMV </v>
      </c>
      <c r="N29" s="105" t="str">
        <f>IF(OR(M29='Tabla Impacto'!$C$11,M29='Tabla Impacto'!$D$11),"Leve",IF(OR(M29='Tabla Impacto'!$C$12,M29='Tabla Impacto'!$D$12),"Menor",IF(OR(M29='Tabla Impacto'!$C$13,M29='Tabla Impacto'!$D$13),"Moderado",IF(OR(M29='Tabla Impacto'!$C$14,M29='Tabla Impacto'!$D$14),"Mayor",IF(OR(M29='Tabla Impacto'!$C$15,M29='Tabla Impacto'!$D$15),"Catastrófico","")))))</f>
        <v>Catastrófico</v>
      </c>
      <c r="O29" s="106">
        <f t="shared" si="12"/>
        <v>1</v>
      </c>
      <c r="P29" s="108" t="str">
        <f t="shared" si="13"/>
        <v>Extremo</v>
      </c>
      <c r="Q29" s="109">
        <v>1</v>
      </c>
      <c r="R29" s="206" t="s">
        <v>468</v>
      </c>
      <c r="S29" s="192" t="str">
        <f t="shared" si="14"/>
        <v>Probabilidad</v>
      </c>
      <c r="T29" s="111" t="s">
        <v>14</v>
      </c>
      <c r="U29" s="111" t="s">
        <v>9</v>
      </c>
      <c r="V29" s="112" t="str">
        <f t="shared" si="15"/>
        <v>40%</v>
      </c>
      <c r="W29" s="111" t="s">
        <v>19</v>
      </c>
      <c r="X29" s="111" t="s">
        <v>22</v>
      </c>
      <c r="Y29" s="111" t="s">
        <v>100</v>
      </c>
      <c r="Z29" s="113">
        <f t="shared" si="16"/>
        <v>0.6</v>
      </c>
      <c r="AA29" s="114" t="str">
        <f t="shared" si="17"/>
        <v>Media</v>
      </c>
      <c r="AB29" s="112">
        <f t="shared" si="18"/>
        <v>0.6</v>
      </c>
      <c r="AC29" s="114" t="str">
        <f t="shared" si="19"/>
        <v>Catastrófico</v>
      </c>
      <c r="AD29" s="112">
        <f t="shared" si="20"/>
        <v>1</v>
      </c>
      <c r="AE29" s="115" t="str">
        <f t="shared" si="21"/>
        <v>Extremo</v>
      </c>
      <c r="AF29" s="111"/>
      <c r="AG29" s="451" t="s">
        <v>470</v>
      </c>
      <c r="AH29" s="145" t="s">
        <v>465</v>
      </c>
      <c r="AI29" s="146" t="s">
        <v>469</v>
      </c>
      <c r="AJ29" s="146" t="s">
        <v>350</v>
      </c>
      <c r="AK29" s="214"/>
      <c r="AL29" s="217"/>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row>
    <row r="30" spans="1:70" ht="238.5" customHeight="1" x14ac:dyDescent="0.3">
      <c r="A30" s="122" t="s">
        <v>201</v>
      </c>
      <c r="B30" s="123" t="s">
        <v>202</v>
      </c>
      <c r="C30" s="468">
        <v>26</v>
      </c>
      <c r="D30" s="462" t="s">
        <v>109</v>
      </c>
      <c r="E30" s="462" t="s">
        <v>225</v>
      </c>
      <c r="F30" s="462" t="s">
        <v>224</v>
      </c>
      <c r="G30" s="469" t="s">
        <v>378</v>
      </c>
      <c r="H30" s="462" t="s">
        <v>355</v>
      </c>
      <c r="I30" s="471">
        <v>32</v>
      </c>
      <c r="J30" s="105" t="str">
        <f>IF(I30&lt;=0,"",IF(I30&lt;=2,"Muy Baja",IF(I30&lt;=24,"Baja",IF(I30&lt;=500,"Media",IF(I30&lt;=5000,"Alta","Muy Alta")))))</f>
        <v>Media</v>
      </c>
      <c r="K30" s="106">
        <f t="shared" si="11"/>
        <v>0.6</v>
      </c>
      <c r="L30" s="107" t="s">
        <v>131</v>
      </c>
      <c r="M30" s="126" t="str">
        <f>IF(NOT(ISERROR(MATCH(L30,_xlfn.ANCHORARRAY(#REF!),0))),K40&amp;"Por favor no seleccionar los criterios de impacto",L30)</f>
        <v xml:space="preserve">     El riesgo afecta la imagen de la entidad con algunos usuarios de relevancia frente al logro de los objetivos</v>
      </c>
      <c r="N30" s="105" t="str">
        <f>IF(OR(M30='Tabla Impacto'!$C$11,M30='Tabla Impacto'!$D$11),"Leve",IF(OR(M30='Tabla Impacto'!$C$12,M30='Tabla Impacto'!$D$12),"Menor",IF(OR(M30='Tabla Impacto'!$C$13,M30='Tabla Impacto'!$D$13),"Moderado",IF(OR(M30='Tabla Impacto'!$C$14,M30='Tabla Impacto'!$D$14),"Mayor",IF(OR(M30='Tabla Impacto'!$C$15,M30='Tabla Impacto'!$D$15),"Catastrófico","")))))</f>
        <v>Moderado</v>
      </c>
      <c r="O30" s="106">
        <f t="shared" si="12"/>
        <v>0.6</v>
      </c>
      <c r="P30" s="108" t="str">
        <f t="shared" si="13"/>
        <v>Moderado</v>
      </c>
      <c r="Q30" s="141">
        <v>2</v>
      </c>
      <c r="R30" s="142" t="s">
        <v>347</v>
      </c>
      <c r="S30" s="192" t="str">
        <f t="shared" si="14"/>
        <v>Probabilidad</v>
      </c>
      <c r="T30" s="111" t="s">
        <v>14</v>
      </c>
      <c r="U30" s="111" t="s">
        <v>9</v>
      </c>
      <c r="V30" s="112" t="str">
        <f t="shared" si="15"/>
        <v>40%</v>
      </c>
      <c r="W30" s="111" t="s">
        <v>19</v>
      </c>
      <c r="X30" s="111" t="s">
        <v>22</v>
      </c>
      <c r="Y30" s="111" t="s">
        <v>100</v>
      </c>
      <c r="Z30" s="113">
        <f t="shared" si="16"/>
        <v>0.36</v>
      </c>
      <c r="AA30" s="114" t="str">
        <f t="shared" si="17"/>
        <v>Baja</v>
      </c>
      <c r="AB30" s="112">
        <f t="shared" si="18"/>
        <v>0.36</v>
      </c>
      <c r="AC30" s="114" t="str">
        <f t="shared" si="19"/>
        <v>Moderado</v>
      </c>
      <c r="AD30" s="112">
        <f t="shared" si="20"/>
        <v>0.6</v>
      </c>
      <c r="AE30" s="115" t="str">
        <f t="shared" si="21"/>
        <v>Moderado</v>
      </c>
      <c r="AF30" s="111" t="s">
        <v>113</v>
      </c>
      <c r="AG30" s="145" t="s">
        <v>348</v>
      </c>
      <c r="AH30" s="145" t="s">
        <v>349</v>
      </c>
      <c r="AI30" s="146">
        <v>44926</v>
      </c>
      <c r="AJ30" s="146" t="s">
        <v>350</v>
      </c>
      <c r="AK30" s="214"/>
      <c r="AL30" s="117"/>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row>
    <row r="31" spans="1:70" ht="181.5" customHeight="1" x14ac:dyDescent="0.3">
      <c r="A31" s="292" t="s">
        <v>203</v>
      </c>
      <c r="B31" s="122" t="s">
        <v>191</v>
      </c>
      <c r="C31" s="460">
        <v>27</v>
      </c>
      <c r="D31" s="272" t="s">
        <v>111</v>
      </c>
      <c r="E31" s="272" t="s">
        <v>329</v>
      </c>
      <c r="F31" s="272" t="s">
        <v>379</v>
      </c>
      <c r="G31" s="461" t="s">
        <v>380</v>
      </c>
      <c r="H31" s="272" t="s">
        <v>361</v>
      </c>
      <c r="I31" s="463">
        <v>750</v>
      </c>
      <c r="J31" s="105" t="str">
        <f t="shared" si="23"/>
        <v>Alta</v>
      </c>
      <c r="K31" s="106">
        <f t="shared" si="11"/>
        <v>0.8</v>
      </c>
      <c r="L31" s="107" t="s">
        <v>127</v>
      </c>
      <c r="M31" s="126" t="str">
        <f>IF(NOT(ISERROR(MATCH(L31,_xlfn.ANCHORARRAY(G39),0))),#REF!&amp;"Por favor no seleccionar los criterios de impacto",L31)</f>
        <v xml:space="preserve">     Entre 100 y 500 SMLMV </v>
      </c>
      <c r="N31" s="105" t="str">
        <f>IF(OR(M31='Tabla Impacto'!$C$11,M31='Tabla Impacto'!$D$11),"Leve",IF(OR(M31='Tabla Impacto'!$C$12,M31='Tabla Impacto'!$D$12),"Menor",IF(OR(M31='Tabla Impacto'!$C$13,M31='Tabla Impacto'!$D$13),"Moderado",IF(OR(M31='Tabla Impacto'!$C$14,M31='Tabla Impacto'!$D$14),"Mayor",IF(OR(M31='Tabla Impacto'!$C$15,M31='Tabla Impacto'!$D$15),"Catastrófico","")))))</f>
        <v>Mayor</v>
      </c>
      <c r="O31" s="106">
        <f t="shared" si="12"/>
        <v>0.8</v>
      </c>
      <c r="P31" s="108" t="str">
        <f t="shared" si="13"/>
        <v>Alto</v>
      </c>
      <c r="Q31" s="141">
        <v>1</v>
      </c>
      <c r="R31" s="144" t="s">
        <v>332</v>
      </c>
      <c r="S31" s="298" t="str">
        <f t="shared" si="14"/>
        <v>Probabilidad</v>
      </c>
      <c r="T31" s="270" t="s">
        <v>14</v>
      </c>
      <c r="U31" s="270" t="s">
        <v>9</v>
      </c>
      <c r="V31" s="280" t="str">
        <f t="shared" si="15"/>
        <v>40%</v>
      </c>
      <c r="W31" s="270" t="s">
        <v>19</v>
      </c>
      <c r="X31" s="270" t="s">
        <v>22</v>
      </c>
      <c r="Y31" s="270" t="s">
        <v>100</v>
      </c>
      <c r="Z31" s="276">
        <f t="shared" si="16"/>
        <v>0.48</v>
      </c>
      <c r="AA31" s="278" t="str">
        <f t="shared" si="17"/>
        <v>Media</v>
      </c>
      <c r="AB31" s="280">
        <f t="shared" si="18"/>
        <v>0.48</v>
      </c>
      <c r="AC31" s="278" t="str">
        <f t="shared" si="19"/>
        <v>Mayor</v>
      </c>
      <c r="AD31" s="280">
        <f t="shared" si="20"/>
        <v>0.8</v>
      </c>
      <c r="AE31" s="268" t="str">
        <f t="shared" si="21"/>
        <v>Alto</v>
      </c>
      <c r="AF31" s="270" t="s">
        <v>113</v>
      </c>
      <c r="AG31" s="272" t="s">
        <v>381</v>
      </c>
      <c r="AH31" s="272" t="s">
        <v>331</v>
      </c>
      <c r="AI31" s="274">
        <v>44926</v>
      </c>
      <c r="AJ31" s="274" t="s">
        <v>350</v>
      </c>
      <c r="AK31" s="450"/>
      <c r="AL31" s="266"/>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row>
    <row r="32" spans="1:70" ht="113.25" customHeight="1" x14ac:dyDescent="0.3">
      <c r="A32" s="294"/>
      <c r="B32" s="122" t="s">
        <v>191</v>
      </c>
      <c r="C32" s="466"/>
      <c r="D32" s="273"/>
      <c r="E32" s="273"/>
      <c r="F32" s="273"/>
      <c r="G32" s="467"/>
      <c r="H32" s="273"/>
      <c r="I32" s="463">
        <v>750</v>
      </c>
      <c r="J32" s="105" t="str">
        <f t="shared" si="23"/>
        <v>Alta</v>
      </c>
      <c r="K32" s="106">
        <f t="shared" si="11"/>
        <v>0.8</v>
      </c>
      <c r="L32" s="107" t="s">
        <v>127</v>
      </c>
      <c r="M32" s="126" t="str">
        <f>IF(NOT(ISERROR(MATCH(L32,_xlfn.ANCHORARRAY(G40),0))),K41&amp;"Por favor no seleccionar los criterios de impacto",L32)</f>
        <v xml:space="preserve">     Entre 100 y 500 SMLMV </v>
      </c>
      <c r="N32" s="105" t="str">
        <f>IF(OR(M32='Tabla Impacto'!$C$11,M32='Tabla Impacto'!$D$11),"Leve",IF(OR(M32='Tabla Impacto'!$C$12,M32='Tabla Impacto'!$D$12),"Menor",IF(OR(M32='Tabla Impacto'!$C$13,M32='Tabla Impacto'!$D$13),"Moderado",IF(OR(M32='Tabla Impacto'!$C$14,M32='Tabla Impacto'!$D$14),"Mayor",IF(OR(M32='Tabla Impacto'!$C$15,M32='Tabla Impacto'!$D$15),"Catastrófico","")))))</f>
        <v>Mayor</v>
      </c>
      <c r="O32" s="106">
        <f t="shared" si="12"/>
        <v>0.8</v>
      </c>
      <c r="P32" s="108" t="str">
        <f t="shared" si="13"/>
        <v>Alto</v>
      </c>
      <c r="Q32" s="141">
        <v>2</v>
      </c>
      <c r="R32" s="116" t="s">
        <v>333</v>
      </c>
      <c r="S32" s="299"/>
      <c r="T32" s="271"/>
      <c r="U32" s="271"/>
      <c r="V32" s="281"/>
      <c r="W32" s="271"/>
      <c r="X32" s="271"/>
      <c r="Y32" s="271"/>
      <c r="Z32" s="277"/>
      <c r="AA32" s="279"/>
      <c r="AB32" s="281"/>
      <c r="AC32" s="279"/>
      <c r="AD32" s="281"/>
      <c r="AE32" s="269"/>
      <c r="AF32" s="271"/>
      <c r="AG32" s="273"/>
      <c r="AH32" s="273"/>
      <c r="AI32" s="275"/>
      <c r="AJ32" s="275"/>
      <c r="AK32" s="297"/>
      <c r="AL32" s="267"/>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row>
    <row r="33" spans="1:70" ht="151.5" customHeight="1" x14ac:dyDescent="0.3">
      <c r="A33" s="123" t="s">
        <v>203</v>
      </c>
      <c r="B33" s="122" t="s">
        <v>191</v>
      </c>
      <c r="C33" s="468">
        <v>28</v>
      </c>
      <c r="D33" s="462" t="s">
        <v>109</v>
      </c>
      <c r="E33" s="462" t="s">
        <v>334</v>
      </c>
      <c r="F33" s="462" t="s">
        <v>382</v>
      </c>
      <c r="G33" s="469" t="s">
        <v>383</v>
      </c>
      <c r="H33" s="462" t="s">
        <v>361</v>
      </c>
      <c r="I33" s="463">
        <v>24</v>
      </c>
      <c r="J33" s="105" t="str">
        <f t="shared" si="23"/>
        <v>Baja</v>
      </c>
      <c r="K33" s="106">
        <f t="shared" si="11"/>
        <v>0.4</v>
      </c>
      <c r="L33" s="107" t="s">
        <v>130</v>
      </c>
      <c r="M33" s="126" t="str">
        <f>IF(NOT(ISERROR(MATCH(L33,_xlfn.ANCHORARRAY(G40),0))),K41&amp;"Por favor no seleccionar los criterios de impacto",L33)</f>
        <v xml:space="preserve">     El riesgo afecta la imagen de la entidad internamente, de conocimiento general, nivel interno, de junta dircetiva y accionistas y/o de provedores</v>
      </c>
      <c r="N33" s="105" t="str">
        <f>IF(OR(M33='Tabla Impacto'!$C$11,M33='Tabla Impacto'!$D$11),"Leve",IF(OR(M33='Tabla Impacto'!$C$12,M33='Tabla Impacto'!$D$12),"Menor",IF(OR(M33='Tabla Impacto'!$C$13,M33='Tabla Impacto'!$D$13),"Moderado",IF(OR(M33='Tabla Impacto'!$C$14,M33='Tabla Impacto'!$D$14),"Mayor",IF(OR(M33='Tabla Impacto'!$C$15,M33='Tabla Impacto'!$D$15),"Catastrófico","")))))</f>
        <v>Menor</v>
      </c>
      <c r="O33" s="106">
        <f t="shared" si="12"/>
        <v>0.4</v>
      </c>
      <c r="P33" s="108" t="str">
        <f t="shared" si="13"/>
        <v>Moderado</v>
      </c>
      <c r="Q33" s="141">
        <v>1</v>
      </c>
      <c r="R33" s="206" t="s">
        <v>448</v>
      </c>
      <c r="S33" s="192" t="str">
        <f t="shared" si="14"/>
        <v>Probabilidad</v>
      </c>
      <c r="T33" s="111" t="s">
        <v>14</v>
      </c>
      <c r="U33" s="111" t="s">
        <v>9</v>
      </c>
      <c r="V33" s="112" t="str">
        <f t="shared" si="15"/>
        <v>40%</v>
      </c>
      <c r="W33" s="111" t="s">
        <v>19</v>
      </c>
      <c r="X33" s="111" t="s">
        <v>22</v>
      </c>
      <c r="Y33" s="111" t="s">
        <v>100</v>
      </c>
      <c r="Z33" s="113">
        <f t="shared" si="16"/>
        <v>0.24</v>
      </c>
      <c r="AA33" s="114" t="str">
        <f t="shared" si="17"/>
        <v>Baja</v>
      </c>
      <c r="AB33" s="112">
        <f t="shared" si="18"/>
        <v>0.24</v>
      </c>
      <c r="AC33" s="114" t="str">
        <f t="shared" si="19"/>
        <v>Menor</v>
      </c>
      <c r="AD33" s="112">
        <f t="shared" si="20"/>
        <v>0.4</v>
      </c>
      <c r="AE33" s="115" t="str">
        <f t="shared" si="21"/>
        <v>Moderado</v>
      </c>
      <c r="AF33" s="111" t="s">
        <v>31</v>
      </c>
      <c r="AG33" s="145"/>
      <c r="AH33" s="211"/>
      <c r="AI33" s="146"/>
      <c r="AJ33" s="146"/>
      <c r="AK33" s="214"/>
      <c r="AL33" s="117"/>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row>
    <row r="34" spans="1:70" ht="195.75" customHeight="1" x14ac:dyDescent="0.3">
      <c r="A34" s="123" t="s">
        <v>203</v>
      </c>
      <c r="B34" s="122" t="s">
        <v>191</v>
      </c>
      <c r="C34" s="468">
        <v>29</v>
      </c>
      <c r="D34" s="462" t="s">
        <v>111</v>
      </c>
      <c r="E34" s="462" t="s">
        <v>335</v>
      </c>
      <c r="F34" s="462" t="s">
        <v>384</v>
      </c>
      <c r="G34" s="469" t="s">
        <v>336</v>
      </c>
      <c r="H34" s="462" t="s">
        <v>355</v>
      </c>
      <c r="I34" s="463">
        <v>1006</v>
      </c>
      <c r="J34" s="105" t="str">
        <f t="shared" si="23"/>
        <v>Alta</v>
      </c>
      <c r="K34" s="106">
        <f t="shared" si="11"/>
        <v>0.8</v>
      </c>
      <c r="L34" s="107" t="s">
        <v>127</v>
      </c>
      <c r="M34" s="126" t="str">
        <f>IF(NOT(ISERROR(MATCH(L34,_xlfn.ANCHORARRAY(#REF!),0))),#REF!&amp;"Por favor no seleccionar los criterios de impacto",L34)</f>
        <v xml:space="preserve">     Entre 100 y 500 SMLMV </v>
      </c>
      <c r="N34" s="105" t="str">
        <f>IF(OR(M34='Tabla Impacto'!$C$11,M34='Tabla Impacto'!$D$11),"Leve",IF(OR(M34='Tabla Impacto'!$C$12,M34='Tabla Impacto'!$D$12),"Menor",IF(OR(M34='Tabla Impacto'!$C$13,M34='Tabla Impacto'!$D$13),"Moderado",IF(OR(M34='Tabla Impacto'!$C$14,M34='Tabla Impacto'!$D$14),"Mayor",IF(OR(M34='Tabla Impacto'!$C$15,M34='Tabla Impacto'!$D$15),"Catastrófico","")))))</f>
        <v>Mayor</v>
      </c>
      <c r="O34" s="106">
        <f t="shared" si="12"/>
        <v>0.8</v>
      </c>
      <c r="P34" s="108" t="str">
        <f t="shared" si="13"/>
        <v>Alto</v>
      </c>
      <c r="Q34" s="141">
        <v>1</v>
      </c>
      <c r="R34" s="206" t="s">
        <v>449</v>
      </c>
      <c r="S34" s="192" t="str">
        <f t="shared" si="14"/>
        <v>Probabilidad</v>
      </c>
      <c r="T34" s="111" t="s">
        <v>14</v>
      </c>
      <c r="U34" s="111" t="s">
        <v>9</v>
      </c>
      <c r="V34" s="112" t="str">
        <f t="shared" si="15"/>
        <v>40%</v>
      </c>
      <c r="W34" s="111" t="s">
        <v>19</v>
      </c>
      <c r="X34" s="111" t="s">
        <v>22</v>
      </c>
      <c r="Y34" s="111" t="s">
        <v>100</v>
      </c>
      <c r="Z34" s="113">
        <f t="shared" si="16"/>
        <v>0.48</v>
      </c>
      <c r="AA34" s="114" t="str">
        <f t="shared" si="17"/>
        <v>Media</v>
      </c>
      <c r="AB34" s="112">
        <f t="shared" si="18"/>
        <v>0.48</v>
      </c>
      <c r="AC34" s="114" t="str">
        <f t="shared" si="19"/>
        <v>Mayor</v>
      </c>
      <c r="AD34" s="112">
        <f t="shared" si="20"/>
        <v>0.8</v>
      </c>
      <c r="AE34" s="115" t="str">
        <f t="shared" si="21"/>
        <v>Alto</v>
      </c>
      <c r="AF34" s="111" t="s">
        <v>113</v>
      </c>
      <c r="AG34" s="145" t="s">
        <v>450</v>
      </c>
      <c r="AH34" s="145" t="s">
        <v>451</v>
      </c>
      <c r="AI34" s="146">
        <v>44926</v>
      </c>
      <c r="AJ34" s="146" t="s">
        <v>350</v>
      </c>
      <c r="AK34" s="214"/>
      <c r="AL34" s="117"/>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row>
    <row r="35" spans="1:70" ht="185.25" customHeight="1" x14ac:dyDescent="0.3">
      <c r="A35" s="123" t="s">
        <v>203</v>
      </c>
      <c r="B35" s="122" t="s">
        <v>204</v>
      </c>
      <c r="C35" s="468">
        <v>32</v>
      </c>
      <c r="D35" s="462" t="s">
        <v>109</v>
      </c>
      <c r="E35" s="462" t="s">
        <v>251</v>
      </c>
      <c r="F35" s="462" t="s">
        <v>252</v>
      </c>
      <c r="G35" s="469" t="s">
        <v>250</v>
      </c>
      <c r="H35" s="462" t="s">
        <v>107</v>
      </c>
      <c r="I35" s="463">
        <v>400</v>
      </c>
      <c r="J35" s="105" t="str">
        <f t="shared" si="23"/>
        <v>Media</v>
      </c>
      <c r="K35" s="106">
        <f t="shared" si="11"/>
        <v>0.6</v>
      </c>
      <c r="L35" s="107" t="s">
        <v>131</v>
      </c>
      <c r="M35" s="126" t="str">
        <f>IF(NOT(ISERROR(MATCH(L35,_xlfn.ANCHORARRAY(#REF!),0))),K42&amp;"Por favor no seleccionar los criterios de impacto",L35)</f>
        <v xml:space="preserve">     El riesgo afecta la imagen de la entidad con algunos usuarios de relevancia frente al logro de los objetivos</v>
      </c>
      <c r="N35" s="105" t="str">
        <f>IF(OR(M35='Tabla Impacto'!$C$11,M35='Tabla Impacto'!$D$11),"Leve",IF(OR(M35='Tabla Impacto'!$C$12,M35='Tabla Impacto'!$D$12),"Menor",IF(OR(M35='Tabla Impacto'!$C$13,M35='Tabla Impacto'!$D$13),"Moderado",IF(OR(M35='Tabla Impacto'!$C$14,M35='Tabla Impacto'!$D$14),"Mayor",IF(OR(M35='Tabla Impacto'!$C$15,M35='Tabla Impacto'!$D$15),"Catastrófico","")))))</f>
        <v>Moderado</v>
      </c>
      <c r="O35" s="106">
        <f t="shared" si="12"/>
        <v>0.6</v>
      </c>
      <c r="P35" s="108" t="str">
        <f t="shared" si="13"/>
        <v>Moderado</v>
      </c>
      <c r="Q35" s="141">
        <v>1</v>
      </c>
      <c r="R35" s="142" t="s">
        <v>319</v>
      </c>
      <c r="S35" s="192" t="str">
        <f t="shared" si="14"/>
        <v>Probabilidad</v>
      </c>
      <c r="T35" s="111" t="s">
        <v>14</v>
      </c>
      <c r="U35" s="111" t="s">
        <v>9</v>
      </c>
      <c r="V35" s="112" t="str">
        <f t="shared" si="15"/>
        <v>40%</v>
      </c>
      <c r="W35" s="111" t="s">
        <v>19</v>
      </c>
      <c r="X35" s="111" t="s">
        <v>22</v>
      </c>
      <c r="Y35" s="111" t="s">
        <v>100</v>
      </c>
      <c r="Z35" s="113">
        <f t="shared" si="16"/>
        <v>0.36</v>
      </c>
      <c r="AA35" s="114" t="str">
        <f t="shared" si="17"/>
        <v>Baja</v>
      </c>
      <c r="AB35" s="112">
        <f t="shared" si="18"/>
        <v>0.36</v>
      </c>
      <c r="AC35" s="114" t="str">
        <f t="shared" si="19"/>
        <v>Moderado</v>
      </c>
      <c r="AD35" s="112">
        <f t="shared" si="20"/>
        <v>0.6</v>
      </c>
      <c r="AE35" s="115" t="str">
        <f t="shared" si="21"/>
        <v>Moderado</v>
      </c>
      <c r="AF35" s="111" t="s">
        <v>31</v>
      </c>
      <c r="AG35" s="145"/>
      <c r="AH35" s="211"/>
      <c r="AI35" s="146"/>
      <c r="AJ35" s="146"/>
      <c r="AK35" s="214"/>
      <c r="AL35" s="117"/>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row>
    <row r="36" spans="1:70" ht="151.5" customHeight="1" x14ac:dyDescent="0.3">
      <c r="A36" s="220" t="s">
        <v>205</v>
      </c>
      <c r="B36" s="122" t="s">
        <v>206</v>
      </c>
      <c r="C36" s="475">
        <v>34</v>
      </c>
      <c r="D36" s="462" t="s">
        <v>111</v>
      </c>
      <c r="E36" s="221" t="s">
        <v>236</v>
      </c>
      <c r="F36" s="221" t="s">
        <v>320</v>
      </c>
      <c r="G36" s="476" t="s">
        <v>237</v>
      </c>
      <c r="H36" s="462" t="s">
        <v>355</v>
      </c>
      <c r="I36" s="463">
        <v>30</v>
      </c>
      <c r="J36" s="105" t="str">
        <f t="shared" si="23"/>
        <v>Media</v>
      </c>
      <c r="K36" s="106">
        <f t="shared" si="11"/>
        <v>0.6</v>
      </c>
      <c r="L36" s="107" t="s">
        <v>125</v>
      </c>
      <c r="M36" s="126" t="str">
        <f>IF(NOT(ISERROR(MATCH(L36,_xlfn.ANCHORARRAY(G42),0))),#REF!&amp;"Por favor no seleccionar los criterios de impacto",L36)</f>
        <v xml:space="preserve">     Entre 50 y 100 SMLMV </v>
      </c>
      <c r="N36" s="105" t="str">
        <f>IF(OR(M36='Tabla Impacto'!$C$11,M36='Tabla Impacto'!$D$11),"Leve",IF(OR(M36='Tabla Impacto'!$C$12,M36='Tabla Impacto'!$D$12),"Menor",IF(OR(M36='Tabla Impacto'!$C$13,M36='Tabla Impacto'!$D$13),"Moderado",IF(OR(M36='Tabla Impacto'!$C$14,M36='Tabla Impacto'!$D$14),"Mayor",IF(OR(M36='Tabla Impacto'!$C$15,M36='Tabla Impacto'!$D$15),"Catastrófico","")))))</f>
        <v>Moderado</v>
      </c>
      <c r="O36" s="106">
        <f t="shared" si="12"/>
        <v>0.6</v>
      </c>
      <c r="P36" s="108" t="str">
        <f t="shared" si="13"/>
        <v>Moderado</v>
      </c>
      <c r="Q36" s="141">
        <v>1</v>
      </c>
      <c r="R36" s="142" t="s">
        <v>385</v>
      </c>
      <c r="S36" s="192" t="str">
        <f t="shared" si="14"/>
        <v>Impacto</v>
      </c>
      <c r="T36" s="111" t="s">
        <v>16</v>
      </c>
      <c r="U36" s="111" t="s">
        <v>9</v>
      </c>
      <c r="V36" s="112" t="str">
        <f t="shared" si="15"/>
        <v>25%</v>
      </c>
      <c r="W36" s="111" t="s">
        <v>20</v>
      </c>
      <c r="X36" s="111" t="s">
        <v>22</v>
      </c>
      <c r="Y36" s="111" t="s">
        <v>101</v>
      </c>
      <c r="Z36" s="113">
        <f t="shared" si="16"/>
        <v>0.6</v>
      </c>
      <c r="AA36" s="114" t="str">
        <f t="shared" si="17"/>
        <v>Media</v>
      </c>
      <c r="AB36" s="112">
        <f t="shared" si="18"/>
        <v>0.6</v>
      </c>
      <c r="AC36" s="114" t="str">
        <f t="shared" si="19"/>
        <v>Moderado</v>
      </c>
      <c r="AD36" s="112">
        <f t="shared" si="20"/>
        <v>0.44999999999999996</v>
      </c>
      <c r="AE36" s="115" t="str">
        <f t="shared" si="21"/>
        <v>Moderado</v>
      </c>
      <c r="AF36" s="111" t="s">
        <v>32</v>
      </c>
      <c r="AG36" s="145"/>
      <c r="AH36" s="211"/>
      <c r="AI36" s="146"/>
      <c r="AJ36" s="146"/>
      <c r="AK36" s="214"/>
      <c r="AL36" s="117"/>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row>
    <row r="37" spans="1:70" ht="151.5" customHeight="1" x14ac:dyDescent="0.3">
      <c r="A37" s="122" t="s">
        <v>205</v>
      </c>
      <c r="B37" s="122" t="s">
        <v>206</v>
      </c>
      <c r="C37" s="468">
        <v>35</v>
      </c>
      <c r="D37" s="462" t="s">
        <v>111</v>
      </c>
      <c r="E37" s="462" t="s">
        <v>386</v>
      </c>
      <c r="F37" s="462" t="s">
        <v>238</v>
      </c>
      <c r="G37" s="477" t="s">
        <v>285</v>
      </c>
      <c r="H37" s="462" t="s">
        <v>355</v>
      </c>
      <c r="I37" s="463">
        <v>180</v>
      </c>
      <c r="J37" s="105" t="str">
        <f t="shared" si="23"/>
        <v>Media</v>
      </c>
      <c r="K37" s="106">
        <f t="shared" si="11"/>
        <v>0.6</v>
      </c>
      <c r="L37" s="107" t="s">
        <v>125</v>
      </c>
      <c r="M37" s="126" t="str">
        <f>IF(NOT(ISERROR(MATCH(L37,_xlfn.ANCHORARRAY(G43),0))),#REF!&amp;"Por favor no seleccionar los criterios de impacto",L37)</f>
        <v xml:space="preserve">     Entre 50 y 100 SMLMV </v>
      </c>
      <c r="N37" s="105" t="str">
        <f>IF(OR(M37='Tabla Impacto'!$C$11,M37='Tabla Impacto'!$D$11),"Leve",IF(OR(M37='Tabla Impacto'!$C$12,M37='Tabla Impacto'!$D$12),"Menor",IF(OR(M37='Tabla Impacto'!$C$13,M37='Tabla Impacto'!$D$13),"Moderado",IF(OR(M37='Tabla Impacto'!$C$14,M37='Tabla Impacto'!$D$14),"Mayor",IF(OR(M37='Tabla Impacto'!$C$15,M37='Tabla Impacto'!$D$15),"Catastrófico","")))))</f>
        <v>Moderado</v>
      </c>
      <c r="O37" s="106">
        <f t="shared" si="12"/>
        <v>0.6</v>
      </c>
      <c r="P37" s="108" t="str">
        <f t="shared" si="13"/>
        <v>Moderado</v>
      </c>
      <c r="Q37" s="141">
        <v>1</v>
      </c>
      <c r="R37" s="142" t="s">
        <v>321</v>
      </c>
      <c r="S37" s="192" t="str">
        <f t="shared" si="14"/>
        <v>Probabilidad</v>
      </c>
      <c r="T37" s="111" t="s">
        <v>14</v>
      </c>
      <c r="U37" s="111" t="s">
        <v>9</v>
      </c>
      <c r="V37" s="112" t="str">
        <f t="shared" si="15"/>
        <v>40%</v>
      </c>
      <c r="W37" s="111" t="s">
        <v>19</v>
      </c>
      <c r="X37" s="111" t="s">
        <v>22</v>
      </c>
      <c r="Y37" s="111" t="s">
        <v>100</v>
      </c>
      <c r="Z37" s="113">
        <f t="shared" si="16"/>
        <v>0.36</v>
      </c>
      <c r="AA37" s="114" t="str">
        <f t="shared" si="17"/>
        <v>Baja</v>
      </c>
      <c r="AB37" s="112">
        <f t="shared" si="18"/>
        <v>0.36</v>
      </c>
      <c r="AC37" s="114" t="str">
        <f t="shared" si="19"/>
        <v>Moderado</v>
      </c>
      <c r="AD37" s="112">
        <f t="shared" si="20"/>
        <v>0.6</v>
      </c>
      <c r="AE37" s="115" t="str">
        <f t="shared" si="21"/>
        <v>Moderado</v>
      </c>
      <c r="AF37" s="111" t="s">
        <v>31</v>
      </c>
      <c r="AG37" s="145"/>
      <c r="AH37" s="211"/>
      <c r="AI37" s="146"/>
      <c r="AJ37" s="146"/>
      <c r="AK37" s="214"/>
      <c r="AL37" s="117"/>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row>
    <row r="38" spans="1:70" ht="151.5" customHeight="1" x14ac:dyDescent="0.3">
      <c r="A38" s="122" t="s">
        <v>205</v>
      </c>
      <c r="B38" s="122" t="s">
        <v>206</v>
      </c>
      <c r="C38" s="468">
        <v>36</v>
      </c>
      <c r="D38" s="462" t="s">
        <v>111</v>
      </c>
      <c r="E38" s="462" t="s">
        <v>286</v>
      </c>
      <c r="F38" s="462" t="s">
        <v>287</v>
      </c>
      <c r="G38" s="469" t="s">
        <v>288</v>
      </c>
      <c r="H38" s="470" t="s">
        <v>479</v>
      </c>
      <c r="I38" s="463">
        <v>400000</v>
      </c>
      <c r="J38" s="207" t="str">
        <f t="shared" si="23"/>
        <v>Muy Alta</v>
      </c>
      <c r="K38" s="106">
        <f t="shared" si="11"/>
        <v>1</v>
      </c>
      <c r="L38" s="107" t="s">
        <v>128</v>
      </c>
      <c r="M38" s="126" t="str">
        <f>IF(NOT(ISERROR(MATCH(L38,_xlfn.ANCHORARRAY(#REF!),0))),K44&amp;"Por favor no seleccionar los criterios de impacto",L38)</f>
        <v xml:space="preserve">     Mayor a 500 SMLMV </v>
      </c>
      <c r="N38" s="207" t="str">
        <f>IF(OR(M38='[1]Tabla Impacto'!$C$11,M38='[1]Tabla Impacto'!$D$11),"Leve",IF(OR(M38='[1]Tabla Impacto'!$C$12,M38='[1]Tabla Impacto'!$D$12),"Menor",IF(OR(M38='[1]Tabla Impacto'!$C$13,M38='[1]Tabla Impacto'!$D$13),"Moderado",IF(OR(M38='[1]Tabla Impacto'!$C$14,M38='[1]Tabla Impacto'!$D$14),"Mayor",IF(OR(M38='[1]Tabla Impacto'!$C$15,M38='[1]Tabla Impacto'!$D$15),"Catastrófico","")))))</f>
        <v>Catastrófico</v>
      </c>
      <c r="O38" s="106">
        <f t="shared" si="12"/>
        <v>1</v>
      </c>
      <c r="P38" s="108" t="str">
        <f t="shared" si="13"/>
        <v>Extremo</v>
      </c>
      <c r="Q38" s="122">
        <v>1</v>
      </c>
      <c r="R38" s="212" t="s">
        <v>422</v>
      </c>
      <c r="S38" s="192" t="str">
        <f t="shared" si="14"/>
        <v>Impacto</v>
      </c>
      <c r="T38" s="111" t="s">
        <v>16</v>
      </c>
      <c r="U38" s="111" t="s">
        <v>9</v>
      </c>
      <c r="V38" s="112" t="str">
        <f t="shared" si="15"/>
        <v>25%</v>
      </c>
      <c r="W38" s="111" t="s">
        <v>19</v>
      </c>
      <c r="X38" s="111" t="s">
        <v>22</v>
      </c>
      <c r="Y38" s="111" t="s">
        <v>100</v>
      </c>
      <c r="Z38" s="113">
        <f t="shared" si="16"/>
        <v>1</v>
      </c>
      <c r="AA38" s="210" t="str">
        <f t="shared" si="17"/>
        <v>Muy Alta</v>
      </c>
      <c r="AB38" s="112">
        <f t="shared" si="18"/>
        <v>1</v>
      </c>
      <c r="AC38" s="210" t="str">
        <f t="shared" si="19"/>
        <v>Mayor</v>
      </c>
      <c r="AD38" s="112">
        <f t="shared" si="20"/>
        <v>0.75</v>
      </c>
      <c r="AE38" s="115" t="str">
        <f t="shared" si="21"/>
        <v>Alto</v>
      </c>
      <c r="AF38" s="111" t="s">
        <v>113</v>
      </c>
      <c r="AG38" s="145" t="s">
        <v>423</v>
      </c>
      <c r="AH38" s="211" t="s">
        <v>424</v>
      </c>
      <c r="AI38" s="146">
        <v>44926</v>
      </c>
      <c r="AJ38" s="146" t="s">
        <v>350</v>
      </c>
      <c r="AK38" s="214"/>
      <c r="AL38" s="217"/>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row>
    <row r="39" spans="1:70" ht="151.5" customHeight="1" x14ac:dyDescent="0.3">
      <c r="A39" s="122" t="s">
        <v>207</v>
      </c>
      <c r="B39" s="205" t="s">
        <v>208</v>
      </c>
      <c r="C39" s="468">
        <v>38</v>
      </c>
      <c r="D39" s="462" t="s">
        <v>111</v>
      </c>
      <c r="E39" s="462" t="s">
        <v>337</v>
      </c>
      <c r="F39" s="478" t="s">
        <v>338</v>
      </c>
      <c r="G39" s="469" t="s">
        <v>340</v>
      </c>
      <c r="H39" s="462" t="s">
        <v>355</v>
      </c>
      <c r="I39" s="211">
        <v>40</v>
      </c>
      <c r="J39" s="105" t="str">
        <f t="shared" si="23"/>
        <v>Media</v>
      </c>
      <c r="K39" s="106">
        <f t="shared" si="11"/>
        <v>0.6</v>
      </c>
      <c r="L39" s="107" t="s">
        <v>125</v>
      </c>
      <c r="M39" s="126" t="str">
        <f>IF(NOT(ISERROR(MATCH(L39,_xlfn.ANCHORARRAY(G44),0))),#REF!&amp;"Por favor no seleccionar los criterios de impacto",L39)</f>
        <v xml:space="preserve">     Entre 50 y 100 SMLMV </v>
      </c>
      <c r="N39" s="105" t="str">
        <f>IF(OR(M39='Tabla Impacto'!$C$11,M39='Tabla Impacto'!$D$11),"Leve",IF(OR(M39='Tabla Impacto'!$C$12,M39='Tabla Impacto'!$D$12),"Menor",IF(OR(M39='Tabla Impacto'!$C$13,M39='Tabla Impacto'!$D$13),"Moderado",IF(OR(M39='Tabla Impacto'!$C$14,M39='Tabla Impacto'!$D$14),"Mayor",IF(OR(M39='Tabla Impacto'!$C$15,M39='Tabla Impacto'!$D$15),"Catastrófico","")))))</f>
        <v>Moderado</v>
      </c>
      <c r="O39" s="106">
        <f t="shared" si="12"/>
        <v>0.6</v>
      </c>
      <c r="P39" s="108" t="str">
        <f t="shared" si="13"/>
        <v>Moderado</v>
      </c>
      <c r="Q39" s="141">
        <v>1</v>
      </c>
      <c r="R39" s="142" t="s">
        <v>339</v>
      </c>
      <c r="S39" s="192" t="str">
        <f t="shared" si="14"/>
        <v>Probabilidad</v>
      </c>
      <c r="T39" s="111" t="s">
        <v>15</v>
      </c>
      <c r="U39" s="111" t="s">
        <v>9</v>
      </c>
      <c r="V39" s="112" t="str">
        <f t="shared" si="15"/>
        <v>30%</v>
      </c>
      <c r="W39" s="111" t="s">
        <v>19</v>
      </c>
      <c r="X39" s="111" t="s">
        <v>22</v>
      </c>
      <c r="Y39" s="111" t="s">
        <v>100</v>
      </c>
      <c r="Z39" s="113">
        <f t="shared" si="16"/>
        <v>0.42</v>
      </c>
      <c r="AA39" s="114" t="str">
        <f t="shared" si="17"/>
        <v>Media</v>
      </c>
      <c r="AB39" s="112">
        <f t="shared" si="18"/>
        <v>0.42</v>
      </c>
      <c r="AC39" s="114" t="str">
        <f t="shared" si="19"/>
        <v>Moderado</v>
      </c>
      <c r="AD39" s="112">
        <f t="shared" si="20"/>
        <v>0.6</v>
      </c>
      <c r="AE39" s="115" t="str">
        <f t="shared" si="21"/>
        <v>Moderado</v>
      </c>
      <c r="AF39" s="111" t="s">
        <v>31</v>
      </c>
      <c r="AG39" s="145"/>
      <c r="AH39" s="211"/>
      <c r="AI39" s="146"/>
      <c r="AJ39" s="146"/>
      <c r="AK39" s="214"/>
      <c r="AL39" s="117"/>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row>
    <row r="40" spans="1:70" ht="151.5" customHeight="1" x14ac:dyDescent="0.3">
      <c r="A40" s="122" t="s">
        <v>207</v>
      </c>
      <c r="B40" s="205" t="s">
        <v>208</v>
      </c>
      <c r="C40" s="468">
        <v>39</v>
      </c>
      <c r="D40" s="462" t="s">
        <v>111</v>
      </c>
      <c r="E40" s="462" t="s">
        <v>341</v>
      </c>
      <c r="F40" s="478" t="s">
        <v>342</v>
      </c>
      <c r="G40" s="469" t="s">
        <v>343</v>
      </c>
      <c r="H40" s="462" t="s">
        <v>355</v>
      </c>
      <c r="I40" s="211">
        <v>300</v>
      </c>
      <c r="J40" s="105" t="str">
        <f t="shared" si="23"/>
        <v>Media</v>
      </c>
      <c r="K40" s="106">
        <f t="shared" si="11"/>
        <v>0.6</v>
      </c>
      <c r="L40" s="107" t="s">
        <v>125</v>
      </c>
      <c r="M40" s="126" t="str">
        <f>IF(NOT(ISERROR(MATCH(L40,_xlfn.ANCHORARRAY(G45),0))),#REF!&amp;"Por favor no seleccionar los criterios de impacto",L40)</f>
        <v xml:space="preserve">     Entre 50 y 100 SMLMV </v>
      </c>
      <c r="N40" s="105" t="str">
        <f>IF(OR(M40='Tabla Impacto'!$C$11,M40='Tabla Impacto'!$D$11),"Leve",IF(OR(M40='Tabla Impacto'!$C$12,M40='Tabla Impacto'!$D$12),"Menor",IF(OR(M40='Tabla Impacto'!$C$13,M40='Tabla Impacto'!$D$13),"Moderado",IF(OR(M40='Tabla Impacto'!$C$14,M40='Tabla Impacto'!$D$14),"Mayor",IF(OR(M40='Tabla Impacto'!$C$15,M40='Tabla Impacto'!$D$15),"Catastrófico","")))))</f>
        <v>Moderado</v>
      </c>
      <c r="O40" s="106">
        <f t="shared" si="12"/>
        <v>0.6</v>
      </c>
      <c r="P40" s="108" t="str">
        <f t="shared" si="13"/>
        <v>Moderado</v>
      </c>
      <c r="Q40" s="141">
        <v>1</v>
      </c>
      <c r="R40" s="116" t="s">
        <v>387</v>
      </c>
      <c r="S40" s="192" t="str">
        <f t="shared" si="14"/>
        <v>Probabilidad</v>
      </c>
      <c r="T40" s="111" t="s">
        <v>14</v>
      </c>
      <c r="U40" s="111" t="s">
        <v>9</v>
      </c>
      <c r="V40" s="112" t="str">
        <f t="shared" si="15"/>
        <v>40%</v>
      </c>
      <c r="W40" s="111" t="s">
        <v>19</v>
      </c>
      <c r="X40" s="111" t="s">
        <v>22</v>
      </c>
      <c r="Y40" s="111" t="s">
        <v>100</v>
      </c>
      <c r="Z40" s="113">
        <f t="shared" si="16"/>
        <v>0.36</v>
      </c>
      <c r="AA40" s="114" t="str">
        <f t="shared" si="17"/>
        <v>Baja</v>
      </c>
      <c r="AB40" s="112">
        <f t="shared" si="18"/>
        <v>0.36</v>
      </c>
      <c r="AC40" s="114" t="str">
        <f t="shared" si="19"/>
        <v>Moderado</v>
      </c>
      <c r="AD40" s="112">
        <f t="shared" si="20"/>
        <v>0.6</v>
      </c>
      <c r="AE40" s="115" t="str">
        <f t="shared" si="21"/>
        <v>Moderado</v>
      </c>
      <c r="AF40" s="111" t="s">
        <v>31</v>
      </c>
      <c r="AG40" s="145"/>
      <c r="AH40" s="211"/>
      <c r="AI40" s="146"/>
      <c r="AJ40" s="146"/>
      <c r="AK40" s="214"/>
      <c r="AL40" s="217"/>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row>
    <row r="41" spans="1:70" ht="164.25" customHeight="1" x14ac:dyDescent="0.3">
      <c r="A41" s="122" t="s">
        <v>207</v>
      </c>
      <c r="B41" s="205" t="s">
        <v>208</v>
      </c>
      <c r="C41" s="468">
        <v>41</v>
      </c>
      <c r="D41" s="462" t="s">
        <v>111</v>
      </c>
      <c r="E41" s="462" t="s">
        <v>344</v>
      </c>
      <c r="F41" s="145" t="s">
        <v>345</v>
      </c>
      <c r="G41" s="469" t="s">
        <v>346</v>
      </c>
      <c r="H41" s="470" t="s">
        <v>479</v>
      </c>
      <c r="I41" s="463">
        <v>24</v>
      </c>
      <c r="J41" s="105" t="str">
        <f t="shared" si="23"/>
        <v>Baja</v>
      </c>
      <c r="K41" s="106">
        <f t="shared" si="11"/>
        <v>0.4</v>
      </c>
      <c r="L41" s="107" t="s">
        <v>122</v>
      </c>
      <c r="M41" s="126" t="str">
        <f>IF(NOT(ISERROR(MATCH(L41,_xlfn.ANCHORARRAY(#REF!),0))),#REF!&amp;"Por favor no seleccionar los criterios de impacto",L41)</f>
        <v xml:space="preserve">     Afectación menor a 10 SMLMV .</v>
      </c>
      <c r="N41" s="105" t="str">
        <f>IF(OR(M41='Tabla Impacto'!$C$11,M41='Tabla Impacto'!$D$11),"Leve",IF(OR(M41='Tabla Impacto'!$C$12,M41='Tabla Impacto'!$D$12),"Menor",IF(OR(M41='Tabla Impacto'!$C$13,M41='Tabla Impacto'!$D$13),"Moderado",IF(OR(M41='Tabla Impacto'!$C$14,M41='Tabla Impacto'!$D$14),"Mayor",IF(OR(M41='Tabla Impacto'!$C$15,M41='Tabla Impacto'!$D$15),"Catastrófico","")))))</f>
        <v>Leve</v>
      </c>
      <c r="O41" s="106">
        <f t="shared" si="12"/>
        <v>0.2</v>
      </c>
      <c r="P41" s="108" t="str">
        <f t="shared" si="13"/>
        <v>Bajo</v>
      </c>
      <c r="Q41" s="141">
        <v>1</v>
      </c>
      <c r="R41" s="144" t="s">
        <v>388</v>
      </c>
      <c r="S41" s="192" t="str">
        <f t="shared" si="14"/>
        <v>Probabilidad</v>
      </c>
      <c r="T41" s="111" t="s">
        <v>14</v>
      </c>
      <c r="U41" s="111" t="s">
        <v>9</v>
      </c>
      <c r="V41" s="112" t="str">
        <f t="shared" si="15"/>
        <v>40%</v>
      </c>
      <c r="W41" s="111" t="s">
        <v>19</v>
      </c>
      <c r="X41" s="111" t="s">
        <v>22</v>
      </c>
      <c r="Y41" s="111" t="s">
        <v>100</v>
      </c>
      <c r="Z41" s="113">
        <f t="shared" si="16"/>
        <v>0.24</v>
      </c>
      <c r="AA41" s="114" t="str">
        <f t="shared" si="17"/>
        <v>Baja</v>
      </c>
      <c r="AB41" s="112">
        <f t="shared" si="18"/>
        <v>0.24</v>
      </c>
      <c r="AC41" s="114" t="str">
        <f t="shared" si="19"/>
        <v>Leve</v>
      </c>
      <c r="AD41" s="112">
        <f t="shared" si="20"/>
        <v>0.2</v>
      </c>
      <c r="AE41" s="115" t="str">
        <f t="shared" si="21"/>
        <v>Bajo</v>
      </c>
      <c r="AF41" s="111" t="s">
        <v>31</v>
      </c>
      <c r="AG41" s="145"/>
      <c r="AH41" s="211"/>
      <c r="AI41" s="146"/>
      <c r="AJ41" s="146"/>
      <c r="AK41" s="214"/>
      <c r="AL41" s="117"/>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row>
    <row r="42" spans="1:70" ht="151.5" customHeight="1" x14ac:dyDescent="0.3">
      <c r="A42" s="122" t="s">
        <v>207</v>
      </c>
      <c r="B42" s="205" t="s">
        <v>209</v>
      </c>
      <c r="C42" s="468">
        <v>45</v>
      </c>
      <c r="D42" s="462" t="s">
        <v>110</v>
      </c>
      <c r="E42" s="462" t="s">
        <v>316</v>
      </c>
      <c r="F42" s="462" t="s">
        <v>315</v>
      </c>
      <c r="G42" s="469" t="s">
        <v>441</v>
      </c>
      <c r="H42" s="462" t="s">
        <v>102</v>
      </c>
      <c r="I42" s="463">
        <v>52</v>
      </c>
      <c r="J42" s="207" t="str">
        <f t="shared" si="23"/>
        <v>Media</v>
      </c>
      <c r="K42" s="106">
        <f t="shared" si="11"/>
        <v>0.6</v>
      </c>
      <c r="L42" s="107" t="s">
        <v>125</v>
      </c>
      <c r="M42" s="126" t="str">
        <f>IF(NOT(ISERROR(MATCH(L42,_xlfn.ANCHORARRAY(#REF!),0))),#REF!&amp;"Por favor no seleccionar los criterios de impacto",L42)</f>
        <v xml:space="preserve">     Entre 50 y 100 SMLMV </v>
      </c>
      <c r="N42" s="207" t="str">
        <f>IF(OR(M42='[2]Tabla Impacto'!$C$11,M42='[2]Tabla Impacto'!$D$11),"Leve",IF(OR(M42='[2]Tabla Impacto'!$C$12,M42='[2]Tabla Impacto'!$D$12),"Menor",IF(OR(M42='[2]Tabla Impacto'!$C$13,M42='[2]Tabla Impacto'!$D$13),"Moderado",IF(OR(M42='[2]Tabla Impacto'!$C$14,M42='[2]Tabla Impacto'!$D$14),"Mayor",IF(OR(M42='[2]Tabla Impacto'!$C$15,M42='[2]Tabla Impacto'!$D$15),"Catastrófico","")))))</f>
        <v>Moderado</v>
      </c>
      <c r="O42" s="106">
        <f t="shared" si="12"/>
        <v>0.6</v>
      </c>
      <c r="P42" s="108" t="str">
        <f t="shared" si="13"/>
        <v>Moderado</v>
      </c>
      <c r="Q42" s="122">
        <v>1</v>
      </c>
      <c r="R42" s="116" t="s">
        <v>322</v>
      </c>
      <c r="S42" s="192" t="str">
        <f t="shared" si="14"/>
        <v>Probabilidad</v>
      </c>
      <c r="T42" s="111" t="s">
        <v>14</v>
      </c>
      <c r="U42" s="111" t="s">
        <v>9</v>
      </c>
      <c r="V42" s="112" t="str">
        <f t="shared" si="15"/>
        <v>40%</v>
      </c>
      <c r="W42" s="111" t="s">
        <v>19</v>
      </c>
      <c r="X42" s="111" t="s">
        <v>22</v>
      </c>
      <c r="Y42" s="111" t="s">
        <v>100</v>
      </c>
      <c r="Z42" s="113">
        <f t="shared" si="16"/>
        <v>0.36</v>
      </c>
      <c r="AA42" s="210" t="str">
        <f t="shared" si="17"/>
        <v>Baja</v>
      </c>
      <c r="AB42" s="112">
        <f t="shared" si="18"/>
        <v>0.36</v>
      </c>
      <c r="AC42" s="210" t="str">
        <f t="shared" si="19"/>
        <v>Moderado</v>
      </c>
      <c r="AD42" s="112">
        <f t="shared" si="20"/>
        <v>0.6</v>
      </c>
      <c r="AE42" s="115" t="str">
        <f t="shared" si="21"/>
        <v>Moderado</v>
      </c>
      <c r="AF42" s="111" t="s">
        <v>31</v>
      </c>
      <c r="AG42" s="145"/>
      <c r="AH42" s="211"/>
      <c r="AI42" s="146"/>
      <c r="AJ42" s="146"/>
      <c r="AK42" s="214"/>
      <c r="AL42" s="217"/>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row>
    <row r="43" spans="1:70" ht="135.75" customHeight="1" x14ac:dyDescent="0.3">
      <c r="A43" s="122" t="s">
        <v>207</v>
      </c>
      <c r="B43" s="205" t="s">
        <v>209</v>
      </c>
      <c r="C43" s="468">
        <v>46</v>
      </c>
      <c r="D43" s="462" t="s">
        <v>111</v>
      </c>
      <c r="E43" s="462" t="s">
        <v>442</v>
      </c>
      <c r="F43" s="462" t="s">
        <v>443</v>
      </c>
      <c r="G43" s="469" t="s">
        <v>444</v>
      </c>
      <c r="H43" s="462" t="s">
        <v>102</v>
      </c>
      <c r="I43" s="463">
        <v>700</v>
      </c>
      <c r="J43" s="207" t="str">
        <f t="shared" si="23"/>
        <v>Alta</v>
      </c>
      <c r="K43" s="106">
        <f t="shared" si="11"/>
        <v>0.8</v>
      </c>
      <c r="L43" s="107" t="s">
        <v>127</v>
      </c>
      <c r="M43" s="126" t="str">
        <f>IF(NOT(ISERROR(MATCH(L43,_xlfn.ANCHORARRAY(#REF!),0))),#REF!&amp;"Por favor no seleccionar los criterios de impacto",L43)</f>
        <v xml:space="preserve">     Entre 100 y 500 SMLMV </v>
      </c>
      <c r="N43" s="207" t="str">
        <f>IF(OR(M43='[2]Tabla Impacto'!$C$11,M43='[2]Tabla Impacto'!$D$11),"Leve",IF(OR(M43='[2]Tabla Impacto'!$C$12,M43='[2]Tabla Impacto'!$D$12),"Menor",IF(OR(M43='[2]Tabla Impacto'!$C$13,M43='[2]Tabla Impacto'!$D$13),"Moderado",IF(OR(M43='[2]Tabla Impacto'!$C$14,M43='[2]Tabla Impacto'!$D$14),"Mayor",IF(OR(M43='[2]Tabla Impacto'!$C$15,M43='[2]Tabla Impacto'!$D$15),"Catastrófico","")))))</f>
        <v>Mayor</v>
      </c>
      <c r="O43" s="106">
        <f t="shared" si="12"/>
        <v>0.8</v>
      </c>
      <c r="P43" s="108" t="str">
        <f t="shared" si="13"/>
        <v>Alto</v>
      </c>
      <c r="Q43" s="122">
        <v>1</v>
      </c>
      <c r="R43" s="142" t="s">
        <v>445</v>
      </c>
      <c r="S43" s="192" t="str">
        <f t="shared" si="14"/>
        <v>Probabilidad</v>
      </c>
      <c r="T43" s="111" t="s">
        <v>14</v>
      </c>
      <c r="U43" s="111" t="s">
        <v>9</v>
      </c>
      <c r="V43" s="112" t="str">
        <f t="shared" si="15"/>
        <v>40%</v>
      </c>
      <c r="W43" s="111" t="s">
        <v>19</v>
      </c>
      <c r="X43" s="111" t="s">
        <v>22</v>
      </c>
      <c r="Y43" s="111" t="s">
        <v>100</v>
      </c>
      <c r="Z43" s="113">
        <f t="shared" si="16"/>
        <v>0.48</v>
      </c>
      <c r="AA43" s="210" t="str">
        <f t="shared" si="17"/>
        <v>Media</v>
      </c>
      <c r="AB43" s="112">
        <f t="shared" si="18"/>
        <v>0.48</v>
      </c>
      <c r="AC43" s="210" t="str">
        <f t="shared" si="19"/>
        <v>Mayor</v>
      </c>
      <c r="AD43" s="112">
        <f t="shared" si="20"/>
        <v>0.8</v>
      </c>
      <c r="AE43" s="115" t="str">
        <f t="shared" si="21"/>
        <v>Alto</v>
      </c>
      <c r="AF43" s="111" t="s">
        <v>113</v>
      </c>
      <c r="AG43" s="145" t="s">
        <v>446</v>
      </c>
      <c r="AH43" s="145" t="s">
        <v>447</v>
      </c>
      <c r="AI43" s="146">
        <v>44926</v>
      </c>
      <c r="AJ43" s="146" t="s">
        <v>350</v>
      </c>
      <c r="AK43" s="214"/>
      <c r="AL43" s="117"/>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row>
    <row r="44" spans="1:70" ht="186" customHeight="1" x14ac:dyDescent="0.3">
      <c r="A44" s="122" t="s">
        <v>207</v>
      </c>
      <c r="B44" s="205" t="s">
        <v>210</v>
      </c>
      <c r="C44" s="468">
        <v>49</v>
      </c>
      <c r="D44" s="462" t="s">
        <v>111</v>
      </c>
      <c r="E44" s="462" t="s">
        <v>389</v>
      </c>
      <c r="F44" s="462" t="s">
        <v>310</v>
      </c>
      <c r="G44" s="469" t="s">
        <v>309</v>
      </c>
      <c r="H44" s="462" t="s">
        <v>355</v>
      </c>
      <c r="I44" s="463">
        <v>500</v>
      </c>
      <c r="J44" s="105" t="str">
        <f>IF(I44&lt;=0,"",IF(I44&lt;=2,"Muy Baja",IF(I44&lt;=24,"Baja",IF(I44&lt;=500,"Media",IF(I44&lt;=5000,"Alta","Muy Alta")))))</f>
        <v>Media</v>
      </c>
      <c r="K44" s="106">
        <f>IF(J44="","",IF(J44="Muy Baja",0.2,IF(J44="Baja",0.4,IF(J44="Media",0.6,IF(J44="Alta",0.8,IF(J44="Muy Alta",1,))))))</f>
        <v>0.6</v>
      </c>
      <c r="L44" s="107" t="s">
        <v>125</v>
      </c>
      <c r="M44" s="126" t="str">
        <f>IF(NOT(ISERROR(MATCH(L44,'Tabla Impacto'!$B$221:$B$223,0))),'Tabla Impacto'!$F$223&amp;"Por favor no seleccionar los criterios de impacto(Afectación Económica o presupuestal y Pérdida Reputacional)",L44)</f>
        <v xml:space="preserve">     Entre 50 y 100 SMLMV </v>
      </c>
      <c r="N44" s="105" t="str">
        <f>IF(OR(M44='Tabla Impacto'!$C$11,M44='Tabla Impacto'!$D$11),"Leve",IF(OR(M44='Tabla Impacto'!$C$12,M44='Tabla Impacto'!$D$12),"Menor",IF(OR(M44='Tabla Impacto'!$C$13,M44='Tabla Impacto'!$D$13),"Moderado",IF(OR(M44='Tabla Impacto'!$C$14,M44='Tabla Impacto'!$D$14),"Mayor",IF(OR(M44='Tabla Impacto'!$C$15,M44='Tabla Impacto'!$D$15),"Catastrófico","")))))</f>
        <v>Moderado</v>
      </c>
      <c r="O44" s="106">
        <f t="shared" si="12"/>
        <v>0.6</v>
      </c>
      <c r="P44" s="108" t="str">
        <f>IF(OR(AND(J44="Muy Baja",N44="Leve"),AND(J44="Muy Baja",N44="Menor"),AND(J44="Baja",N44="Leve")),"Bajo",IF(OR(AND(J44="Muy baja",N44="Moderado"),AND(J44="Baja",N44="Menor"),AND(J44="Baja",N44="Moderado"),AND(J44="Media",N44="Leve"),AND(J44="Media",N44="Menor"),AND(J44="Media",N44="Moderado"),AND(J44="Alta",N44="Leve"),AND(J44="Alta",N44="Menor")),"Moderado",IF(OR(AND(J44="Muy Baja",N44="Mayor"),AND(J44="Baja",N44="Mayor"),AND(J44="Media",N44="Mayor"),AND(J44="Alta",N44="Moderado"),AND(J44="Alta",N44="Mayor"),AND(J44="Muy Alta",N44="Leve"),AND(J44="Muy Alta",N44="Menor"),AND(J44="Muy Alta",N44="Moderado"),AND(J44="Muy Alta",N44="Mayor")),"Alto",IF(OR(AND(J44="Muy Baja",N44="Catastrófico"),AND(J44="Baja",N44="Catastrófico"),AND(J44="Media",N44="Catastrófico"),AND(J44="Alta",N44="Catastrófico"),AND(J44="Muy Alta",N44="Catastrófico")),"Extremo",""))))</f>
        <v>Moderado</v>
      </c>
      <c r="Q44" s="141">
        <v>1</v>
      </c>
      <c r="R44" s="213" t="s">
        <v>426</v>
      </c>
      <c r="S44" s="192" t="str">
        <f t="shared" si="14"/>
        <v>Probabilidad</v>
      </c>
      <c r="T44" s="111" t="s">
        <v>14</v>
      </c>
      <c r="U44" s="111" t="s">
        <v>9</v>
      </c>
      <c r="V44" s="112" t="str">
        <f t="shared" si="15"/>
        <v>40%</v>
      </c>
      <c r="W44" s="111" t="s">
        <v>19</v>
      </c>
      <c r="X44" s="111" t="s">
        <v>22</v>
      </c>
      <c r="Y44" s="111" t="s">
        <v>100</v>
      </c>
      <c r="Z44" s="113">
        <f>IFERROR(IF(S44="Probabilidad",(K44-(+K44*V44)),IF(S44="Impacto",K44,"")),"")</f>
        <v>0.36</v>
      </c>
      <c r="AA44" s="114" t="str">
        <f t="shared" si="17"/>
        <v>Baja</v>
      </c>
      <c r="AB44" s="112">
        <f t="shared" si="18"/>
        <v>0.36</v>
      </c>
      <c r="AC44" s="114" t="str">
        <f t="shared" si="19"/>
        <v>Moderado</v>
      </c>
      <c r="AD44" s="112">
        <f t="shared" si="20"/>
        <v>0.6</v>
      </c>
      <c r="AE44" s="115" t="str">
        <f t="shared" si="21"/>
        <v>Moderado</v>
      </c>
      <c r="AF44" s="111" t="s">
        <v>31</v>
      </c>
      <c r="AG44" s="451"/>
      <c r="AH44" s="211"/>
      <c r="AI44" s="146"/>
      <c r="AJ44" s="146"/>
      <c r="AK44" s="214"/>
      <c r="AL44" s="117"/>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row>
    <row r="45" spans="1:70" ht="147.75" customHeight="1" x14ac:dyDescent="0.3">
      <c r="A45" s="122" t="s">
        <v>207</v>
      </c>
      <c r="B45" s="205" t="s">
        <v>210</v>
      </c>
      <c r="C45" s="468">
        <v>50</v>
      </c>
      <c r="D45" s="462" t="s">
        <v>111</v>
      </c>
      <c r="E45" s="462" t="s">
        <v>427</v>
      </c>
      <c r="F45" s="479" t="s">
        <v>428</v>
      </c>
      <c r="G45" s="480" t="s">
        <v>390</v>
      </c>
      <c r="H45" s="462" t="s">
        <v>355</v>
      </c>
      <c r="I45" s="463">
        <v>50</v>
      </c>
      <c r="J45" s="105" t="str">
        <f t="shared" si="23"/>
        <v>Media</v>
      </c>
      <c r="K45" s="106">
        <f t="shared" si="11"/>
        <v>0.6</v>
      </c>
      <c r="L45" s="107" t="s">
        <v>125</v>
      </c>
      <c r="M45" s="126" t="str">
        <f>IF(NOT(ISERROR(MATCH(L45,_xlfn.ANCHORARRAY(#REF!),0))),#REF!&amp;"Por favor no seleccionar los criterios de impacto",L45)</f>
        <v xml:space="preserve">     Entre 50 y 100 SMLMV </v>
      </c>
      <c r="N45" s="105" t="str">
        <f>IF(OR(M45='Tabla Impacto'!$C$11,M45='Tabla Impacto'!$D$11),"Leve",IF(OR(M45='Tabla Impacto'!$C$12,M45='Tabla Impacto'!$D$12),"Menor",IF(OR(M45='Tabla Impacto'!$C$13,M45='Tabla Impacto'!$D$13),"Moderado",IF(OR(M45='Tabla Impacto'!$C$14,M45='Tabla Impacto'!$D$14),"Mayor",IF(OR(M45='Tabla Impacto'!$C$15,M45='Tabla Impacto'!$D$15),"Catastrófico","")))))</f>
        <v>Moderado</v>
      </c>
      <c r="O45" s="106">
        <f t="shared" si="12"/>
        <v>0.6</v>
      </c>
      <c r="P45" s="108" t="str">
        <f t="shared" si="13"/>
        <v>Moderado</v>
      </c>
      <c r="Q45" s="141">
        <v>1</v>
      </c>
      <c r="R45" s="206" t="s">
        <v>429</v>
      </c>
      <c r="S45" s="192" t="str">
        <f t="shared" si="14"/>
        <v>Probabilidad</v>
      </c>
      <c r="T45" s="111" t="s">
        <v>14</v>
      </c>
      <c r="U45" s="111" t="s">
        <v>9</v>
      </c>
      <c r="V45" s="112" t="str">
        <f t="shared" si="15"/>
        <v>40%</v>
      </c>
      <c r="W45" s="111" t="s">
        <v>19</v>
      </c>
      <c r="X45" s="111" t="s">
        <v>22</v>
      </c>
      <c r="Y45" s="111" t="s">
        <v>100</v>
      </c>
      <c r="Z45" s="113">
        <f t="shared" si="16"/>
        <v>0.36</v>
      </c>
      <c r="AA45" s="114" t="str">
        <f t="shared" si="17"/>
        <v>Baja</v>
      </c>
      <c r="AB45" s="112">
        <f t="shared" si="18"/>
        <v>0.36</v>
      </c>
      <c r="AC45" s="114" t="str">
        <f t="shared" si="19"/>
        <v>Moderado</v>
      </c>
      <c r="AD45" s="112">
        <f t="shared" si="20"/>
        <v>0.6</v>
      </c>
      <c r="AE45" s="115" t="str">
        <f t="shared" si="21"/>
        <v>Moderado</v>
      </c>
      <c r="AF45" s="111" t="s">
        <v>113</v>
      </c>
      <c r="AG45" s="451" t="s">
        <v>430</v>
      </c>
      <c r="AH45" s="145" t="s">
        <v>477</v>
      </c>
      <c r="AI45" s="146">
        <v>44926</v>
      </c>
      <c r="AJ45" s="146" t="s">
        <v>350</v>
      </c>
      <c r="AK45" s="214"/>
      <c r="AL45" s="117"/>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row>
    <row r="46" spans="1:70" ht="151.5" customHeight="1" x14ac:dyDescent="0.3">
      <c r="A46" s="304" t="s">
        <v>211</v>
      </c>
      <c r="B46" s="205" t="s">
        <v>194</v>
      </c>
      <c r="C46" s="460">
        <v>53</v>
      </c>
      <c r="D46" s="462" t="s">
        <v>111</v>
      </c>
      <c r="E46" s="272" t="s">
        <v>246</v>
      </c>
      <c r="F46" s="272" t="s">
        <v>244</v>
      </c>
      <c r="G46" s="461" t="s">
        <v>245</v>
      </c>
      <c r="H46" s="462" t="s">
        <v>355</v>
      </c>
      <c r="I46" s="463">
        <v>246</v>
      </c>
      <c r="J46" s="105" t="str">
        <f t="shared" si="23"/>
        <v>Media</v>
      </c>
      <c r="K46" s="106">
        <f t="shared" si="11"/>
        <v>0.6</v>
      </c>
      <c r="L46" s="107" t="s">
        <v>125</v>
      </c>
      <c r="M46" s="126" t="str">
        <f>IF(NOT(ISERROR(MATCH(L46,_xlfn.ANCHORARRAY(G69),0))),K71&amp;"Por favor no seleccionar los criterios de impacto",L46)</f>
        <v xml:space="preserve">     Entre 50 y 100 SMLMV </v>
      </c>
      <c r="N46" s="105" t="str">
        <f>IF(OR(M46='Tabla Impacto'!$C$11,M46='Tabla Impacto'!$D$11),"Leve",IF(OR(M46='Tabla Impacto'!$C$12,M46='Tabla Impacto'!$D$12),"Menor",IF(OR(M46='Tabla Impacto'!$C$13,M46='Tabla Impacto'!$D$13),"Moderado",IF(OR(M46='Tabla Impacto'!$C$14,M46='Tabla Impacto'!$D$14),"Mayor",IF(OR(M46='Tabla Impacto'!$C$15,M46='Tabla Impacto'!$D$15),"Catastrófico","")))))</f>
        <v>Moderado</v>
      </c>
      <c r="O46" s="106">
        <f t="shared" si="12"/>
        <v>0.6</v>
      </c>
      <c r="P46" s="108" t="str">
        <f t="shared" si="13"/>
        <v>Moderado</v>
      </c>
      <c r="Q46" s="141">
        <v>1</v>
      </c>
      <c r="R46" s="142" t="s">
        <v>325</v>
      </c>
      <c r="S46" s="192" t="str">
        <f t="shared" si="14"/>
        <v>Probabilidad</v>
      </c>
      <c r="T46" s="111" t="s">
        <v>14</v>
      </c>
      <c r="U46" s="111" t="s">
        <v>9</v>
      </c>
      <c r="V46" s="112" t="str">
        <f t="shared" si="15"/>
        <v>40%</v>
      </c>
      <c r="W46" s="111" t="s">
        <v>19</v>
      </c>
      <c r="X46" s="111" t="s">
        <v>22</v>
      </c>
      <c r="Y46" s="111" t="s">
        <v>100</v>
      </c>
      <c r="Z46" s="113">
        <f t="shared" si="16"/>
        <v>0.36</v>
      </c>
      <c r="AA46" s="114" t="str">
        <f t="shared" si="17"/>
        <v>Baja</v>
      </c>
      <c r="AB46" s="112">
        <f t="shared" si="18"/>
        <v>0.36</v>
      </c>
      <c r="AC46" s="114" t="str">
        <f t="shared" si="19"/>
        <v>Moderado</v>
      </c>
      <c r="AD46" s="112">
        <f t="shared" si="20"/>
        <v>0.6</v>
      </c>
      <c r="AE46" s="115" t="str">
        <f t="shared" si="21"/>
        <v>Moderado</v>
      </c>
      <c r="AF46" s="270" t="s">
        <v>31</v>
      </c>
      <c r="AG46" s="145"/>
      <c r="AH46" s="211"/>
      <c r="AI46" s="146"/>
      <c r="AJ46" s="146"/>
      <c r="AK46" s="214"/>
      <c r="AL46" s="117"/>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row>
    <row r="47" spans="1:70" ht="151.5" customHeight="1" x14ac:dyDescent="0.3">
      <c r="A47" s="305"/>
      <c r="B47" s="205" t="s">
        <v>194</v>
      </c>
      <c r="C47" s="466"/>
      <c r="D47" s="462" t="s">
        <v>111</v>
      </c>
      <c r="E47" s="273"/>
      <c r="F47" s="273"/>
      <c r="G47" s="467"/>
      <c r="H47" s="462" t="s">
        <v>355</v>
      </c>
      <c r="I47" s="463">
        <v>246</v>
      </c>
      <c r="J47" s="105" t="str">
        <f t="shared" si="23"/>
        <v>Media</v>
      </c>
      <c r="K47" s="106">
        <f t="shared" si="11"/>
        <v>0.6</v>
      </c>
      <c r="L47" s="107" t="s">
        <v>125</v>
      </c>
      <c r="M47" s="126" t="str">
        <f>IF(NOT(ISERROR(MATCH(L47,_xlfn.ANCHORARRAY(G70),0))),K72&amp;"Por favor no seleccionar los criterios de impacto",L47)</f>
        <v xml:space="preserve">     Entre 50 y 100 SMLMV </v>
      </c>
      <c r="N47" s="105" t="str">
        <f>IF(OR(M47='Tabla Impacto'!$C$11,M47='Tabla Impacto'!$D$11),"Leve",IF(OR(M47='Tabla Impacto'!$C$12,M47='Tabla Impacto'!$D$12),"Menor",IF(OR(M47='Tabla Impacto'!$C$13,M47='Tabla Impacto'!$D$13),"Moderado",IF(OR(M47='Tabla Impacto'!$C$14,M47='Tabla Impacto'!$D$14),"Mayor",IF(OR(M47='Tabla Impacto'!$C$15,M47='Tabla Impacto'!$D$15),"Catastrófico","")))))</f>
        <v>Moderado</v>
      </c>
      <c r="O47" s="106">
        <f t="shared" si="12"/>
        <v>0.6</v>
      </c>
      <c r="P47" s="108" t="str">
        <f t="shared" si="13"/>
        <v>Moderado</v>
      </c>
      <c r="Q47" s="141">
        <v>2</v>
      </c>
      <c r="R47" s="142" t="s">
        <v>326</v>
      </c>
      <c r="S47" s="192" t="str">
        <f t="shared" si="14"/>
        <v>Probabilidad</v>
      </c>
      <c r="T47" s="111" t="s">
        <v>14</v>
      </c>
      <c r="U47" s="111" t="s">
        <v>9</v>
      </c>
      <c r="V47" s="112" t="str">
        <f t="shared" si="15"/>
        <v>40%</v>
      </c>
      <c r="W47" s="111" t="s">
        <v>19</v>
      </c>
      <c r="X47" s="111" t="s">
        <v>22</v>
      </c>
      <c r="Y47" s="111" t="s">
        <v>100</v>
      </c>
      <c r="Z47" s="113">
        <f t="shared" si="16"/>
        <v>0.36</v>
      </c>
      <c r="AA47" s="114" t="str">
        <f t="shared" si="17"/>
        <v>Baja</v>
      </c>
      <c r="AB47" s="112">
        <f t="shared" si="18"/>
        <v>0.36</v>
      </c>
      <c r="AC47" s="114" t="str">
        <f t="shared" si="19"/>
        <v>Moderado</v>
      </c>
      <c r="AD47" s="112">
        <f t="shared" si="20"/>
        <v>0.6</v>
      </c>
      <c r="AE47" s="115" t="str">
        <f t="shared" si="21"/>
        <v>Moderado</v>
      </c>
      <c r="AF47" s="271"/>
      <c r="AG47" s="145"/>
      <c r="AH47" s="211"/>
      <c r="AI47" s="146"/>
      <c r="AJ47" s="146"/>
      <c r="AK47" s="214"/>
      <c r="AL47" s="117"/>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row>
    <row r="48" spans="1:70" ht="151.5" customHeight="1" x14ac:dyDescent="0.3">
      <c r="A48" s="122" t="s">
        <v>211</v>
      </c>
      <c r="B48" s="205" t="s">
        <v>212</v>
      </c>
      <c r="C48" s="468">
        <v>56</v>
      </c>
      <c r="D48" s="462" t="s">
        <v>111</v>
      </c>
      <c r="E48" s="462" t="s">
        <v>254</v>
      </c>
      <c r="F48" s="462" t="s">
        <v>255</v>
      </c>
      <c r="G48" s="469" t="s">
        <v>253</v>
      </c>
      <c r="H48" s="462" t="s">
        <v>355</v>
      </c>
      <c r="I48" s="463">
        <v>42</v>
      </c>
      <c r="J48" s="105" t="str">
        <f t="shared" si="23"/>
        <v>Media</v>
      </c>
      <c r="K48" s="106">
        <f t="shared" si="11"/>
        <v>0.6</v>
      </c>
      <c r="L48" s="107" t="s">
        <v>125</v>
      </c>
      <c r="M48" s="126" t="str">
        <f>IF(NOT(ISERROR(MATCH(L48,_xlfn.ANCHORARRAY(G72),0))),K74&amp;"Por favor no seleccionar los criterios de impacto",L48)</f>
        <v xml:space="preserve">     Entre 50 y 100 SMLMV </v>
      </c>
      <c r="N48" s="105" t="str">
        <f>IF(OR(M48='Tabla Impacto'!$C$11,M48='Tabla Impacto'!$D$11),"Leve",IF(OR(M48='Tabla Impacto'!$C$12,M48='Tabla Impacto'!$D$12),"Menor",IF(OR(M48='Tabla Impacto'!$C$13,M48='Tabla Impacto'!$D$13),"Moderado",IF(OR(M48='Tabla Impacto'!$C$14,M48='Tabla Impacto'!$D$14),"Mayor",IF(OR(M48='Tabla Impacto'!$C$15,M48='Tabla Impacto'!$D$15),"Catastrófico","")))))</f>
        <v>Moderado</v>
      </c>
      <c r="O48" s="106">
        <f t="shared" si="12"/>
        <v>0.6</v>
      </c>
      <c r="P48" s="108" t="str">
        <f t="shared" si="13"/>
        <v>Moderado</v>
      </c>
      <c r="Q48" s="109">
        <v>1</v>
      </c>
      <c r="R48" s="110" t="s">
        <v>433</v>
      </c>
      <c r="S48" s="192" t="str">
        <f t="shared" si="14"/>
        <v>Probabilidad</v>
      </c>
      <c r="T48" s="111" t="s">
        <v>14</v>
      </c>
      <c r="U48" s="111" t="s">
        <v>9</v>
      </c>
      <c r="V48" s="112" t="str">
        <f t="shared" si="15"/>
        <v>40%</v>
      </c>
      <c r="W48" s="111" t="s">
        <v>19</v>
      </c>
      <c r="X48" s="111" t="s">
        <v>23</v>
      </c>
      <c r="Y48" s="111" t="s">
        <v>100</v>
      </c>
      <c r="Z48" s="113">
        <f t="shared" si="16"/>
        <v>0.36</v>
      </c>
      <c r="AA48" s="114" t="str">
        <f t="shared" si="17"/>
        <v>Baja</v>
      </c>
      <c r="AB48" s="112">
        <f t="shared" si="18"/>
        <v>0.36</v>
      </c>
      <c r="AC48" s="114" t="str">
        <f t="shared" si="19"/>
        <v>Moderado</v>
      </c>
      <c r="AD48" s="112">
        <f t="shared" si="20"/>
        <v>0.6</v>
      </c>
      <c r="AE48" s="115" t="str">
        <f t="shared" si="21"/>
        <v>Moderado</v>
      </c>
      <c r="AF48" s="111" t="s">
        <v>113</v>
      </c>
      <c r="AG48" s="145" t="s">
        <v>434</v>
      </c>
      <c r="AH48" s="211" t="s">
        <v>435</v>
      </c>
      <c r="AI48" s="146">
        <v>44926</v>
      </c>
      <c r="AJ48" s="146" t="s">
        <v>350</v>
      </c>
      <c r="AK48" s="214"/>
      <c r="AL48" s="117"/>
    </row>
    <row r="49" spans="1:38" ht="280.5" customHeight="1" x14ac:dyDescent="0.3">
      <c r="A49" s="122" t="s">
        <v>425</v>
      </c>
      <c r="B49" s="205" t="s">
        <v>425</v>
      </c>
      <c r="C49" s="468"/>
      <c r="D49" s="462" t="s">
        <v>111</v>
      </c>
      <c r="E49" s="462" t="s">
        <v>457</v>
      </c>
      <c r="F49" s="462" t="s">
        <v>452</v>
      </c>
      <c r="G49" s="469" t="s">
        <v>453</v>
      </c>
      <c r="H49" s="470" t="s">
        <v>479</v>
      </c>
      <c r="I49" s="463">
        <v>66843</v>
      </c>
      <c r="J49" s="105" t="str">
        <f t="shared" si="23"/>
        <v>Muy Alta</v>
      </c>
      <c r="K49" s="106">
        <f t="shared" si="11"/>
        <v>1</v>
      </c>
      <c r="L49" s="107" t="s">
        <v>128</v>
      </c>
      <c r="M49" s="126" t="str">
        <f>IF(NOT(ISERROR(MATCH(L49,_xlfn.ANCHORARRAY(G73),0))),K75&amp;"Por favor no seleccionar los criterios de impacto",L49)</f>
        <v xml:space="preserve">     Mayor a 500 SMLMV </v>
      </c>
      <c r="N49" s="105" t="str">
        <f>IF(OR(M49='Tabla Impacto'!$C$11,M49='Tabla Impacto'!$D$11),"Leve",IF(OR(M49='Tabla Impacto'!$C$12,M49='Tabla Impacto'!$D$12),"Menor",IF(OR(M49='Tabla Impacto'!$C$13,M49='Tabla Impacto'!$D$13),"Moderado",IF(OR(M49='Tabla Impacto'!$C$14,M49='Tabla Impacto'!$D$14),"Mayor",IF(OR(M49='Tabla Impacto'!$C$15,M49='Tabla Impacto'!$D$15),"Catastrófico","")))))</f>
        <v>Catastrófico</v>
      </c>
      <c r="O49" s="106">
        <f t="shared" si="12"/>
        <v>1</v>
      </c>
      <c r="P49" s="108" t="str">
        <f t="shared" si="13"/>
        <v>Extremo</v>
      </c>
      <c r="Q49" s="109">
        <v>1</v>
      </c>
      <c r="R49" s="110" t="s">
        <v>458</v>
      </c>
      <c r="S49" s="192" t="str">
        <f t="shared" si="14"/>
        <v>Probabilidad</v>
      </c>
      <c r="T49" s="111" t="s">
        <v>14</v>
      </c>
      <c r="U49" s="111" t="s">
        <v>9</v>
      </c>
      <c r="V49" s="112" t="str">
        <f t="shared" si="15"/>
        <v>40%</v>
      </c>
      <c r="W49" s="111" t="s">
        <v>19</v>
      </c>
      <c r="X49" s="111" t="s">
        <v>22</v>
      </c>
      <c r="Y49" s="111" t="s">
        <v>100</v>
      </c>
      <c r="Z49" s="113">
        <f t="shared" si="16"/>
        <v>0.6</v>
      </c>
      <c r="AA49" s="114" t="str">
        <f t="shared" si="17"/>
        <v>Media</v>
      </c>
      <c r="AB49" s="112">
        <f t="shared" si="18"/>
        <v>0.6</v>
      </c>
      <c r="AC49" s="114" t="str">
        <f t="shared" si="19"/>
        <v>Catastrófico</v>
      </c>
      <c r="AD49" s="112">
        <f t="shared" si="20"/>
        <v>1</v>
      </c>
      <c r="AE49" s="115" t="str">
        <f t="shared" si="21"/>
        <v>Extremo</v>
      </c>
      <c r="AF49" s="111" t="s">
        <v>113</v>
      </c>
      <c r="AG49" s="451" t="s">
        <v>472</v>
      </c>
      <c r="AH49" s="145" t="s">
        <v>459</v>
      </c>
      <c r="AI49" s="146" t="s">
        <v>460</v>
      </c>
      <c r="AJ49" s="146" t="s">
        <v>350</v>
      </c>
      <c r="AK49" s="214"/>
      <c r="AL49" s="117"/>
    </row>
    <row r="50" spans="1:38" ht="254.25" customHeight="1" x14ac:dyDescent="0.3">
      <c r="A50" s="122" t="s">
        <v>425</v>
      </c>
      <c r="B50" s="205" t="s">
        <v>425</v>
      </c>
      <c r="C50" s="468"/>
      <c r="D50" s="462" t="s">
        <v>111</v>
      </c>
      <c r="E50" s="462" t="s">
        <v>454</v>
      </c>
      <c r="F50" s="462" t="s">
        <v>455</v>
      </c>
      <c r="G50" s="469" t="s">
        <v>456</v>
      </c>
      <c r="H50" s="462" t="s">
        <v>102</v>
      </c>
      <c r="I50" s="463">
        <v>40000</v>
      </c>
      <c r="J50" s="105" t="str">
        <f t="shared" si="23"/>
        <v>Muy Alta</v>
      </c>
      <c r="K50" s="106">
        <f t="shared" si="11"/>
        <v>1</v>
      </c>
      <c r="L50" s="107" t="s">
        <v>128</v>
      </c>
      <c r="M50" s="126" t="str">
        <f>IF(NOT(ISERROR(MATCH(L50,_xlfn.ANCHORARRAY(G74),0))),K76&amp;"Por favor no seleccionar los criterios de impacto",L50)</f>
        <v xml:space="preserve">     Mayor a 500 SMLMV </v>
      </c>
      <c r="N50" s="105" t="str">
        <f>IF(OR(M50='Tabla Impacto'!$C$11,M50='Tabla Impacto'!$D$11),"Leve",IF(OR(M50='Tabla Impacto'!$C$12,M50='Tabla Impacto'!$D$12),"Menor",IF(OR(M50='Tabla Impacto'!$C$13,M50='Tabla Impacto'!$D$13),"Moderado",IF(OR(M50='Tabla Impacto'!$C$14,M50='Tabla Impacto'!$D$14),"Mayor",IF(OR(M50='Tabla Impacto'!$C$15,M50='Tabla Impacto'!$D$15),"Catastrófico","")))))</f>
        <v>Catastrófico</v>
      </c>
      <c r="O50" s="106">
        <f t="shared" si="12"/>
        <v>1</v>
      </c>
      <c r="P50" s="108" t="str">
        <f t="shared" si="13"/>
        <v>Extremo</v>
      </c>
      <c r="Q50" s="109">
        <v>1</v>
      </c>
      <c r="R50" s="110" t="s">
        <v>473</v>
      </c>
      <c r="S50" s="192" t="str">
        <f t="shared" si="14"/>
        <v>Probabilidad</v>
      </c>
      <c r="T50" s="111" t="s">
        <v>14</v>
      </c>
      <c r="U50" s="111" t="s">
        <v>9</v>
      </c>
      <c r="V50" s="112" t="str">
        <f t="shared" si="15"/>
        <v>40%</v>
      </c>
      <c r="W50" s="111" t="s">
        <v>19</v>
      </c>
      <c r="X50" s="111" t="s">
        <v>22</v>
      </c>
      <c r="Y50" s="111" t="s">
        <v>100</v>
      </c>
      <c r="Z50" s="113">
        <f t="shared" si="16"/>
        <v>0.6</v>
      </c>
      <c r="AA50" s="114" t="str">
        <f t="shared" si="17"/>
        <v>Media</v>
      </c>
      <c r="AB50" s="112">
        <f t="shared" si="18"/>
        <v>0.6</v>
      </c>
      <c r="AC50" s="114" t="str">
        <f t="shared" si="19"/>
        <v>Catastrófico</v>
      </c>
      <c r="AD50" s="112">
        <f t="shared" si="20"/>
        <v>1</v>
      </c>
      <c r="AE50" s="115" t="str">
        <f t="shared" si="21"/>
        <v>Extremo</v>
      </c>
      <c r="AF50" s="111" t="s">
        <v>113</v>
      </c>
      <c r="AG50" s="451" t="s">
        <v>474</v>
      </c>
      <c r="AH50" s="145" t="s">
        <v>459</v>
      </c>
      <c r="AI50" s="146" t="s">
        <v>460</v>
      </c>
      <c r="AJ50" s="146" t="s">
        <v>350</v>
      </c>
      <c r="AK50" s="451"/>
      <c r="AL50" s="117"/>
    </row>
    <row r="51" spans="1:38" ht="151.5" customHeight="1" x14ac:dyDescent="0.3">
      <c r="A51" s="122" t="s">
        <v>211</v>
      </c>
      <c r="B51" s="205" t="s">
        <v>210</v>
      </c>
      <c r="C51" s="468">
        <v>57</v>
      </c>
      <c r="D51" s="462" t="s">
        <v>111</v>
      </c>
      <c r="E51" s="462" t="s">
        <v>308</v>
      </c>
      <c r="F51" s="462" t="s">
        <v>318</v>
      </c>
      <c r="G51" s="469" t="s">
        <v>307</v>
      </c>
      <c r="H51" s="462" t="s">
        <v>355</v>
      </c>
      <c r="I51" s="463">
        <v>24</v>
      </c>
      <c r="J51" s="105" t="str">
        <f t="shared" si="23"/>
        <v>Baja</v>
      </c>
      <c r="K51" s="106">
        <f t="shared" si="11"/>
        <v>0.4</v>
      </c>
      <c r="L51" s="107" t="s">
        <v>126</v>
      </c>
      <c r="M51" s="126" t="str">
        <f>IF(NOT(ISERROR(MATCH(L51,_xlfn.ANCHORARRAY(G73),0))),K75&amp;"Por favor no seleccionar los criterios de impacto",L51)</f>
        <v xml:space="preserve">     Entre 10 y 50 SMLMV </v>
      </c>
      <c r="N51" s="105" t="str">
        <f>IF(OR(M51='Tabla Impacto'!$C$11,M51='Tabla Impacto'!$D$11),"Leve",IF(OR(M51='Tabla Impacto'!$C$12,M51='Tabla Impacto'!$D$12),"Menor",IF(OR(M51='Tabla Impacto'!$C$13,M51='Tabla Impacto'!$D$13),"Moderado",IF(OR(M51='Tabla Impacto'!$C$14,M51='Tabla Impacto'!$D$14),"Mayor",IF(OR(M51='Tabla Impacto'!$C$15,M51='Tabla Impacto'!$D$15),"Catastrófico","")))))</f>
        <v>Menor</v>
      </c>
      <c r="O51" s="106">
        <f t="shared" si="12"/>
        <v>0.4</v>
      </c>
      <c r="P51" s="108" t="str">
        <f t="shared" si="13"/>
        <v>Moderado</v>
      </c>
      <c r="Q51" s="141">
        <v>1</v>
      </c>
      <c r="R51" s="215" t="s">
        <v>431</v>
      </c>
      <c r="S51" s="192" t="str">
        <f t="shared" si="14"/>
        <v>Probabilidad</v>
      </c>
      <c r="T51" s="111" t="s">
        <v>14</v>
      </c>
      <c r="U51" s="111" t="s">
        <v>9</v>
      </c>
      <c r="V51" s="112" t="str">
        <f t="shared" si="15"/>
        <v>40%</v>
      </c>
      <c r="W51" s="111" t="s">
        <v>19</v>
      </c>
      <c r="X51" s="111" t="s">
        <v>23</v>
      </c>
      <c r="Y51" s="111" t="s">
        <v>100</v>
      </c>
      <c r="Z51" s="113">
        <f>IFERROR(IF(S51="Probabilidad",(K51-(+K51*V51)),IF(S51="Impacto",K51,"")),"")</f>
        <v>0.24</v>
      </c>
      <c r="AA51" s="114" t="str">
        <f t="shared" si="17"/>
        <v>Baja</v>
      </c>
      <c r="AB51" s="112">
        <f t="shared" si="18"/>
        <v>0.24</v>
      </c>
      <c r="AC51" s="114" t="str">
        <f t="shared" si="19"/>
        <v>Menor</v>
      </c>
      <c r="AD51" s="112">
        <f t="shared" si="20"/>
        <v>0.4</v>
      </c>
      <c r="AE51" s="115" t="str">
        <f t="shared" si="21"/>
        <v>Moderado</v>
      </c>
      <c r="AF51" s="111" t="s">
        <v>31</v>
      </c>
      <c r="AG51" s="451"/>
      <c r="AH51" s="211"/>
      <c r="AI51" s="146"/>
      <c r="AJ51" s="146"/>
      <c r="AK51" s="214"/>
      <c r="AL51" s="217"/>
    </row>
    <row r="52" spans="1:38" ht="188.25" customHeight="1" x14ac:dyDescent="0.3">
      <c r="A52" s="122" t="s">
        <v>213</v>
      </c>
      <c r="B52" s="205" t="s">
        <v>213</v>
      </c>
      <c r="C52" s="468">
        <v>58</v>
      </c>
      <c r="D52" s="462" t="s">
        <v>111</v>
      </c>
      <c r="E52" s="462" t="s">
        <v>391</v>
      </c>
      <c r="F52" s="462" t="s">
        <v>259</v>
      </c>
      <c r="G52" s="469" t="s">
        <v>260</v>
      </c>
      <c r="H52" s="462" t="s">
        <v>355</v>
      </c>
      <c r="I52" s="463">
        <v>500</v>
      </c>
      <c r="J52" s="105" t="str">
        <f t="shared" si="23"/>
        <v>Media</v>
      </c>
      <c r="K52" s="106">
        <f t="shared" si="11"/>
        <v>0.6</v>
      </c>
      <c r="L52" s="107" t="s">
        <v>125</v>
      </c>
      <c r="M52" s="126" t="str">
        <f>IF(NOT(ISERROR(MATCH(L52,_xlfn.ANCHORARRAY(G74),0))),K76&amp;"Por favor no seleccionar los criterios de impacto",L52)</f>
        <v xml:space="preserve">     Entre 50 y 100 SMLMV </v>
      </c>
      <c r="N52" s="105" t="str">
        <f>IF(OR(M52='Tabla Impacto'!$C$11,M52='Tabla Impacto'!$D$11),"Leve",IF(OR(M52='Tabla Impacto'!$C$12,M52='Tabla Impacto'!$D$12),"Menor",IF(OR(M52='Tabla Impacto'!$C$13,M52='Tabla Impacto'!$D$13),"Moderado",IF(OR(M52='Tabla Impacto'!$C$14,M52='Tabla Impacto'!$D$14),"Mayor",IF(OR(M52='Tabla Impacto'!$C$15,M52='Tabla Impacto'!$D$15),"Catastrófico","")))))</f>
        <v>Moderado</v>
      </c>
      <c r="O52" s="106">
        <f t="shared" si="12"/>
        <v>0.6</v>
      </c>
      <c r="P52" s="108" t="str">
        <f t="shared" si="13"/>
        <v>Moderado</v>
      </c>
      <c r="Q52" s="109">
        <v>1</v>
      </c>
      <c r="R52" s="116" t="s">
        <v>438</v>
      </c>
      <c r="S52" s="192" t="str">
        <f t="shared" si="14"/>
        <v>Probabilidad</v>
      </c>
      <c r="T52" s="111" t="s">
        <v>14</v>
      </c>
      <c r="U52" s="111" t="s">
        <v>9</v>
      </c>
      <c r="V52" s="112" t="str">
        <f t="shared" si="15"/>
        <v>40%</v>
      </c>
      <c r="W52" s="111" t="s">
        <v>19</v>
      </c>
      <c r="X52" s="111" t="s">
        <v>22</v>
      </c>
      <c r="Y52" s="111" t="s">
        <v>100</v>
      </c>
      <c r="Z52" s="113">
        <f t="shared" si="16"/>
        <v>0.36</v>
      </c>
      <c r="AA52" s="114" t="str">
        <f t="shared" si="17"/>
        <v>Baja</v>
      </c>
      <c r="AB52" s="112">
        <f t="shared" si="18"/>
        <v>0.36</v>
      </c>
      <c r="AC52" s="114" t="str">
        <f t="shared" si="19"/>
        <v>Moderado</v>
      </c>
      <c r="AD52" s="112">
        <f t="shared" si="20"/>
        <v>0.6</v>
      </c>
      <c r="AE52" s="115" t="str">
        <f t="shared" si="21"/>
        <v>Moderado</v>
      </c>
      <c r="AF52" s="111" t="s">
        <v>31</v>
      </c>
      <c r="AG52" s="145"/>
      <c r="AH52" s="211"/>
      <c r="AI52" s="146"/>
      <c r="AJ52" s="146"/>
      <c r="AK52" s="214"/>
      <c r="AL52" s="217"/>
    </row>
    <row r="53" spans="1:38" ht="151.5" customHeight="1" x14ac:dyDescent="0.3">
      <c r="A53" s="122" t="s">
        <v>213</v>
      </c>
      <c r="B53" s="205" t="s">
        <v>213</v>
      </c>
      <c r="C53" s="468">
        <v>59</v>
      </c>
      <c r="D53" s="462" t="s">
        <v>111</v>
      </c>
      <c r="E53" s="462" t="s">
        <v>261</v>
      </c>
      <c r="F53" s="462" t="s">
        <v>262</v>
      </c>
      <c r="G53" s="469" t="s">
        <v>392</v>
      </c>
      <c r="H53" s="462" t="s">
        <v>355</v>
      </c>
      <c r="I53" s="463">
        <v>174</v>
      </c>
      <c r="J53" s="105" t="str">
        <f t="shared" si="23"/>
        <v>Media</v>
      </c>
      <c r="K53" s="106">
        <f t="shared" si="11"/>
        <v>0.6</v>
      </c>
      <c r="L53" s="107" t="s">
        <v>125</v>
      </c>
      <c r="M53" s="126" t="str">
        <f>IF(NOT(ISERROR(MATCH(L53,_xlfn.ANCHORARRAY(G75),0))),K77&amp;"Por favor no seleccionar los criterios de impacto",L53)</f>
        <v xml:space="preserve">     Entre 50 y 100 SMLMV </v>
      </c>
      <c r="N53" s="105" t="str">
        <f>IF(OR(M53='Tabla Impacto'!$C$11,M53='Tabla Impacto'!$D$11),"Leve",IF(OR(M53='Tabla Impacto'!$C$12,M53='Tabla Impacto'!$D$12),"Menor",IF(OR(M53='Tabla Impacto'!$C$13,M53='Tabla Impacto'!$D$13),"Moderado",IF(OR(M53='Tabla Impacto'!$C$14,M53='Tabla Impacto'!$D$14),"Mayor",IF(OR(M53='Tabla Impacto'!$C$15,M53='Tabla Impacto'!$D$15),"Catastrófico","")))))</f>
        <v>Moderado</v>
      </c>
      <c r="O53" s="106">
        <f t="shared" si="12"/>
        <v>0.6</v>
      </c>
      <c r="P53" s="108" t="str">
        <f t="shared" si="13"/>
        <v>Moderado</v>
      </c>
      <c r="Q53" s="109">
        <v>1</v>
      </c>
      <c r="R53" s="144" t="s">
        <v>436</v>
      </c>
      <c r="S53" s="192" t="str">
        <f t="shared" si="14"/>
        <v>Probabilidad</v>
      </c>
      <c r="T53" s="111" t="s">
        <v>14</v>
      </c>
      <c r="U53" s="111" t="s">
        <v>9</v>
      </c>
      <c r="V53" s="112" t="str">
        <f t="shared" si="15"/>
        <v>40%</v>
      </c>
      <c r="W53" s="111" t="s">
        <v>19</v>
      </c>
      <c r="X53" s="111" t="s">
        <v>22</v>
      </c>
      <c r="Y53" s="111" t="s">
        <v>100</v>
      </c>
      <c r="Z53" s="113">
        <f t="shared" si="16"/>
        <v>0.36</v>
      </c>
      <c r="AA53" s="114" t="str">
        <f t="shared" si="17"/>
        <v>Baja</v>
      </c>
      <c r="AB53" s="112">
        <f t="shared" si="18"/>
        <v>0.36</v>
      </c>
      <c r="AC53" s="114" t="str">
        <f t="shared" si="19"/>
        <v>Moderado</v>
      </c>
      <c r="AD53" s="112">
        <f t="shared" si="20"/>
        <v>0.6</v>
      </c>
      <c r="AE53" s="115" t="str">
        <f t="shared" si="21"/>
        <v>Moderado</v>
      </c>
      <c r="AF53" s="111" t="s">
        <v>113</v>
      </c>
      <c r="AG53" s="145" t="s">
        <v>439</v>
      </c>
      <c r="AH53" s="211" t="s">
        <v>440</v>
      </c>
      <c r="AI53" s="146">
        <v>44926</v>
      </c>
      <c r="AJ53" s="146" t="s">
        <v>350</v>
      </c>
      <c r="AK53" s="214"/>
      <c r="AL53" s="217"/>
    </row>
    <row r="54" spans="1:38" ht="177" customHeight="1" x14ac:dyDescent="0.3">
      <c r="A54" s="122" t="s">
        <v>213</v>
      </c>
      <c r="B54" s="205" t="s">
        <v>213</v>
      </c>
      <c r="C54" s="468">
        <v>60</v>
      </c>
      <c r="D54" s="462" t="s">
        <v>111</v>
      </c>
      <c r="E54" s="462" t="s">
        <v>264</v>
      </c>
      <c r="F54" s="462" t="s">
        <v>263</v>
      </c>
      <c r="G54" s="469" t="s">
        <v>265</v>
      </c>
      <c r="H54" s="462" t="s">
        <v>355</v>
      </c>
      <c r="I54" s="463">
        <v>650</v>
      </c>
      <c r="J54" s="105" t="str">
        <f t="shared" si="23"/>
        <v>Alta</v>
      </c>
      <c r="K54" s="106">
        <f t="shared" si="11"/>
        <v>0.8</v>
      </c>
      <c r="L54" s="107" t="s">
        <v>127</v>
      </c>
      <c r="M54" s="126" t="str">
        <f>IF(NOT(ISERROR(MATCH(L54,_xlfn.ANCHORARRAY(G76),0))),K78&amp;"Por favor no seleccionar los criterios de impacto",L54)</f>
        <v xml:space="preserve">     Entre 100 y 500 SMLMV </v>
      </c>
      <c r="N54" s="105" t="str">
        <f>IF(OR(M54='Tabla Impacto'!$C$11,M54='Tabla Impacto'!$D$11),"Leve",IF(OR(M54='Tabla Impacto'!$C$12,M54='Tabla Impacto'!$D$12),"Menor",IF(OR(M54='Tabla Impacto'!$C$13,M54='Tabla Impacto'!$D$13),"Moderado",IF(OR(M54='Tabla Impacto'!$C$14,M54='Tabla Impacto'!$D$14),"Mayor",IF(OR(M54='Tabla Impacto'!$C$15,M54='Tabla Impacto'!$D$15),"Catastrófico","")))))</f>
        <v>Mayor</v>
      </c>
      <c r="O54" s="106">
        <f t="shared" si="12"/>
        <v>0.8</v>
      </c>
      <c r="P54" s="108" t="str">
        <f t="shared" si="13"/>
        <v>Alto</v>
      </c>
      <c r="Q54" s="109">
        <v>1</v>
      </c>
      <c r="R54" s="144" t="s">
        <v>437</v>
      </c>
      <c r="S54" s="192" t="str">
        <f t="shared" si="14"/>
        <v>Probabilidad</v>
      </c>
      <c r="T54" s="111" t="s">
        <v>14</v>
      </c>
      <c r="U54" s="111" t="s">
        <v>9</v>
      </c>
      <c r="V54" s="112" t="str">
        <f t="shared" si="15"/>
        <v>40%</v>
      </c>
      <c r="W54" s="111" t="s">
        <v>19</v>
      </c>
      <c r="X54" s="111" t="s">
        <v>22</v>
      </c>
      <c r="Y54" s="111" t="s">
        <v>100</v>
      </c>
      <c r="Z54" s="113">
        <f t="shared" si="16"/>
        <v>0.48</v>
      </c>
      <c r="AA54" s="114" t="str">
        <f t="shared" si="17"/>
        <v>Media</v>
      </c>
      <c r="AB54" s="112">
        <f t="shared" si="18"/>
        <v>0.48</v>
      </c>
      <c r="AC54" s="114" t="str">
        <f t="shared" si="19"/>
        <v>Mayor</v>
      </c>
      <c r="AD54" s="112">
        <f t="shared" si="20"/>
        <v>0.8</v>
      </c>
      <c r="AE54" s="115" t="str">
        <f t="shared" si="21"/>
        <v>Alto</v>
      </c>
      <c r="AF54" s="111" t="s">
        <v>113</v>
      </c>
      <c r="AG54" s="145" t="s">
        <v>471</v>
      </c>
      <c r="AH54" s="211" t="s">
        <v>440</v>
      </c>
      <c r="AI54" s="146">
        <v>44926</v>
      </c>
      <c r="AJ54" s="146" t="s">
        <v>350</v>
      </c>
      <c r="AK54" s="214"/>
      <c r="AL54" s="217"/>
    </row>
    <row r="55" spans="1:38" ht="151.5" customHeight="1" x14ac:dyDescent="0.3">
      <c r="A55" s="123" t="s">
        <v>214</v>
      </c>
      <c r="B55" s="122" t="s">
        <v>215</v>
      </c>
      <c r="C55" s="481">
        <v>61</v>
      </c>
      <c r="D55" s="462" t="s">
        <v>111</v>
      </c>
      <c r="E55" s="462" t="s">
        <v>227</v>
      </c>
      <c r="F55" s="462" t="s">
        <v>226</v>
      </c>
      <c r="G55" s="469" t="s">
        <v>228</v>
      </c>
      <c r="H55" s="462" t="s">
        <v>103</v>
      </c>
      <c r="I55" s="463">
        <v>10</v>
      </c>
      <c r="J55" s="207" t="str">
        <f t="shared" si="23"/>
        <v>Baja</v>
      </c>
      <c r="K55" s="106">
        <f t="shared" si="11"/>
        <v>0.4</v>
      </c>
      <c r="L55" s="107" t="s">
        <v>122</v>
      </c>
      <c r="M55" s="126" t="str">
        <f>IF(NOT(ISERROR(MATCH(L55,_xlfn.ANCHORARRAY(G78),0))),K80&amp;"Por favor no seleccionar los criterios de impacto",L55)</f>
        <v xml:space="preserve">     Afectación menor a 10 SMLMV .</v>
      </c>
      <c r="N55" s="207" t="str">
        <f>IF(OR(M55='[3]Tabla Impacto'!$C$11,M55='[3]Tabla Impacto'!$D$11),"Leve",IF(OR(M55='[3]Tabla Impacto'!$C$12,M55='[3]Tabla Impacto'!$D$12),"Menor",IF(OR(M55='[3]Tabla Impacto'!$C$13,M55='[3]Tabla Impacto'!$D$13),"Moderado",IF(OR(M55='[3]Tabla Impacto'!$C$14,M55='[3]Tabla Impacto'!$D$14),"Mayor",IF(OR(M55='[3]Tabla Impacto'!$C$15,M55='[3]Tabla Impacto'!$D$15),"Catastrófico","")))))</f>
        <v>Leve</v>
      </c>
      <c r="O55" s="106">
        <f t="shared" si="12"/>
        <v>0.2</v>
      </c>
      <c r="P55" s="108" t="str">
        <f t="shared" si="13"/>
        <v>Bajo</v>
      </c>
      <c r="Q55" s="208">
        <v>1</v>
      </c>
      <c r="R55" s="209" t="s">
        <v>409</v>
      </c>
      <c r="S55" s="192" t="str">
        <f t="shared" si="14"/>
        <v>Probabilidad</v>
      </c>
      <c r="T55" s="111" t="s">
        <v>14</v>
      </c>
      <c r="U55" s="111" t="s">
        <v>9</v>
      </c>
      <c r="V55" s="112" t="str">
        <f t="shared" si="15"/>
        <v>40%</v>
      </c>
      <c r="W55" s="111" t="s">
        <v>20</v>
      </c>
      <c r="X55" s="111" t="s">
        <v>22</v>
      </c>
      <c r="Y55" s="111" t="s">
        <v>100</v>
      </c>
      <c r="Z55" s="113">
        <f t="shared" si="16"/>
        <v>0.24</v>
      </c>
      <c r="AA55" s="210" t="str">
        <f t="shared" si="17"/>
        <v>Baja</v>
      </c>
      <c r="AB55" s="112">
        <f t="shared" si="18"/>
        <v>0.24</v>
      </c>
      <c r="AC55" s="210" t="str">
        <f t="shared" si="19"/>
        <v>Leve</v>
      </c>
      <c r="AD55" s="112">
        <f t="shared" si="20"/>
        <v>0.2</v>
      </c>
      <c r="AE55" s="115" t="str">
        <f t="shared" si="21"/>
        <v>Bajo</v>
      </c>
      <c r="AF55" s="111" t="s">
        <v>113</v>
      </c>
      <c r="AG55" s="209" t="s">
        <v>410</v>
      </c>
      <c r="AH55" s="211" t="s">
        <v>408</v>
      </c>
      <c r="AI55" s="146">
        <v>44926</v>
      </c>
      <c r="AJ55" s="146" t="s">
        <v>350</v>
      </c>
      <c r="AK55" s="451"/>
      <c r="AL55" s="217"/>
    </row>
    <row r="56" spans="1:38" ht="151.5" customHeight="1" x14ac:dyDescent="0.3">
      <c r="A56" s="123" t="s">
        <v>214</v>
      </c>
      <c r="B56" s="122" t="s">
        <v>215</v>
      </c>
      <c r="C56" s="481">
        <v>62</v>
      </c>
      <c r="D56" s="462" t="s">
        <v>111</v>
      </c>
      <c r="E56" s="462" t="s">
        <v>403</v>
      </c>
      <c r="F56" s="462" t="s">
        <v>404</v>
      </c>
      <c r="G56" s="469" t="s">
        <v>405</v>
      </c>
      <c r="H56" s="462" t="s">
        <v>102</v>
      </c>
      <c r="I56" s="463">
        <v>500</v>
      </c>
      <c r="J56" s="207" t="str">
        <f t="shared" si="23"/>
        <v>Media</v>
      </c>
      <c r="K56" s="106">
        <f t="shared" si="11"/>
        <v>0.6</v>
      </c>
      <c r="L56" s="107" t="s">
        <v>125</v>
      </c>
      <c r="M56" s="126" t="str">
        <f>IF(NOT(ISERROR(MATCH(L56,_xlfn.ANCHORARRAY(G79),0))),K81&amp;"Por favor no seleccionar los criterios de impacto",L56)</f>
        <v xml:space="preserve">     Entre 50 y 100 SMLMV </v>
      </c>
      <c r="N56" s="207" t="str">
        <f>IF(OR(M56='[3]Tabla Impacto'!$C$11,M56='[3]Tabla Impacto'!$D$11),"Leve",IF(OR(M56='[3]Tabla Impacto'!$C$12,M56='[3]Tabla Impacto'!$D$12),"Menor",IF(OR(M56='[3]Tabla Impacto'!$C$13,M56='[3]Tabla Impacto'!$D$13),"Moderado",IF(OR(M56='[3]Tabla Impacto'!$C$14,M56='[3]Tabla Impacto'!$D$14),"Mayor",IF(OR(M56='[3]Tabla Impacto'!$C$15,M56='[3]Tabla Impacto'!$D$15),"Catastrófico","")))))</f>
        <v>Moderado</v>
      </c>
      <c r="O56" s="106">
        <f t="shared" si="12"/>
        <v>0.6</v>
      </c>
      <c r="P56" s="108" t="str">
        <f t="shared" si="13"/>
        <v>Moderado</v>
      </c>
      <c r="Q56" s="208">
        <v>1</v>
      </c>
      <c r="R56" s="209" t="s">
        <v>406</v>
      </c>
      <c r="S56" s="192" t="str">
        <f t="shared" si="14"/>
        <v>Probabilidad</v>
      </c>
      <c r="T56" s="111" t="s">
        <v>14</v>
      </c>
      <c r="U56" s="111" t="s">
        <v>9</v>
      </c>
      <c r="V56" s="112" t="str">
        <f t="shared" si="15"/>
        <v>40%</v>
      </c>
      <c r="W56" s="111" t="s">
        <v>19</v>
      </c>
      <c r="X56" s="111" t="s">
        <v>22</v>
      </c>
      <c r="Y56" s="111" t="s">
        <v>100</v>
      </c>
      <c r="Z56" s="113">
        <f t="shared" si="16"/>
        <v>0.36</v>
      </c>
      <c r="AA56" s="210" t="str">
        <f t="shared" si="17"/>
        <v>Baja</v>
      </c>
      <c r="AB56" s="112">
        <f t="shared" si="18"/>
        <v>0.36</v>
      </c>
      <c r="AC56" s="210" t="str">
        <f t="shared" si="19"/>
        <v>Moderado</v>
      </c>
      <c r="AD56" s="112">
        <f t="shared" si="20"/>
        <v>0.6</v>
      </c>
      <c r="AE56" s="115" t="str">
        <f t="shared" si="21"/>
        <v>Moderado</v>
      </c>
      <c r="AF56" s="111" t="s">
        <v>113</v>
      </c>
      <c r="AG56" s="209" t="s">
        <v>407</v>
      </c>
      <c r="AH56" s="211" t="s">
        <v>408</v>
      </c>
      <c r="AI56" s="146">
        <v>44926</v>
      </c>
      <c r="AJ56" s="146" t="s">
        <v>350</v>
      </c>
      <c r="AK56" s="451"/>
      <c r="AL56" s="217"/>
    </row>
    <row r="57" spans="1:38" ht="168" customHeight="1" x14ac:dyDescent="0.3">
      <c r="A57" s="123" t="s">
        <v>214</v>
      </c>
      <c r="B57" s="122" t="s">
        <v>215</v>
      </c>
      <c r="C57" s="481">
        <v>63</v>
      </c>
      <c r="D57" s="462" t="s">
        <v>111</v>
      </c>
      <c r="E57" s="462" t="s">
        <v>257</v>
      </c>
      <c r="F57" s="462" t="s">
        <v>258</v>
      </c>
      <c r="G57" s="469" t="s">
        <v>256</v>
      </c>
      <c r="H57" s="470" t="s">
        <v>479</v>
      </c>
      <c r="I57" s="463">
        <v>501</v>
      </c>
      <c r="J57" s="207" t="str">
        <f t="shared" si="23"/>
        <v>Alta</v>
      </c>
      <c r="K57" s="106">
        <f t="shared" si="11"/>
        <v>0.8</v>
      </c>
      <c r="L57" s="107" t="s">
        <v>127</v>
      </c>
      <c r="M57" s="126" t="str">
        <f>IF(NOT(ISERROR(MATCH(L57,_xlfn.ANCHORARRAY(G79),0))),K81&amp;"Por favor no seleccionar los criterios de impacto",L57)</f>
        <v xml:space="preserve">     Entre 100 y 500 SMLMV </v>
      </c>
      <c r="N57" s="207" t="str">
        <f>IF(OR(M57='[3]Tabla Impacto'!$C$11,M57='[3]Tabla Impacto'!$D$11),"Leve",IF(OR(M57='[3]Tabla Impacto'!$C$12,M57='[3]Tabla Impacto'!$D$12),"Menor",IF(OR(M57='[3]Tabla Impacto'!$C$13,M57='[3]Tabla Impacto'!$D$13),"Moderado",IF(OR(M57='[3]Tabla Impacto'!$C$14,M57='[3]Tabla Impacto'!$D$14),"Mayor",IF(OR(M57='[3]Tabla Impacto'!$C$15,M57='[3]Tabla Impacto'!$D$15),"Catastrófico","")))))</f>
        <v>Mayor</v>
      </c>
      <c r="O57" s="106">
        <f t="shared" si="12"/>
        <v>0.8</v>
      </c>
      <c r="P57" s="108" t="str">
        <f t="shared" si="13"/>
        <v>Alto</v>
      </c>
      <c r="Q57" s="208">
        <v>1</v>
      </c>
      <c r="R57" s="116" t="s">
        <v>411</v>
      </c>
      <c r="S57" s="192" t="str">
        <f t="shared" si="14"/>
        <v>Probabilidad</v>
      </c>
      <c r="T57" s="111" t="s">
        <v>14</v>
      </c>
      <c r="U57" s="111" t="s">
        <v>9</v>
      </c>
      <c r="V57" s="112" t="str">
        <f t="shared" si="15"/>
        <v>40%</v>
      </c>
      <c r="W57" s="111" t="s">
        <v>20</v>
      </c>
      <c r="X57" s="111" t="s">
        <v>22</v>
      </c>
      <c r="Y57" s="111" t="s">
        <v>100</v>
      </c>
      <c r="Z57" s="113">
        <f t="shared" si="16"/>
        <v>0.48</v>
      </c>
      <c r="AA57" s="210" t="str">
        <f t="shared" si="17"/>
        <v>Media</v>
      </c>
      <c r="AB57" s="112">
        <f t="shared" si="18"/>
        <v>0.48</v>
      </c>
      <c r="AC57" s="210" t="str">
        <f t="shared" si="19"/>
        <v>Mayor</v>
      </c>
      <c r="AD57" s="112">
        <f t="shared" si="20"/>
        <v>0.8</v>
      </c>
      <c r="AE57" s="115" t="str">
        <f t="shared" si="21"/>
        <v>Alto</v>
      </c>
      <c r="AF57" s="111" t="s">
        <v>113</v>
      </c>
      <c r="AG57" s="145" t="s">
        <v>412</v>
      </c>
      <c r="AH57" s="145" t="s">
        <v>413</v>
      </c>
      <c r="AI57" s="146">
        <v>44926</v>
      </c>
      <c r="AJ57" s="146" t="s">
        <v>350</v>
      </c>
      <c r="AK57" s="451"/>
      <c r="AL57" s="217"/>
    </row>
    <row r="58" spans="1:38" ht="151.5" customHeight="1" x14ac:dyDescent="0.3">
      <c r="A58" s="304" t="s">
        <v>216</v>
      </c>
      <c r="B58" s="220" t="s">
        <v>216</v>
      </c>
      <c r="C58" s="460">
        <v>65</v>
      </c>
      <c r="D58" s="272" t="s">
        <v>109</v>
      </c>
      <c r="E58" s="272" t="s">
        <v>266</v>
      </c>
      <c r="F58" s="272" t="s">
        <v>393</v>
      </c>
      <c r="G58" s="461" t="s">
        <v>394</v>
      </c>
      <c r="H58" s="272" t="s">
        <v>107</v>
      </c>
      <c r="I58" s="482">
        <v>10000</v>
      </c>
      <c r="J58" s="134" t="str">
        <f>IF(I58&lt;=0,"",IF(I58&lt;=2,"Muy Baja",IF(I58&lt;=24,"Baja",IF(I58&lt;=500,"Media",IF(I58&lt;=5000,"Alta","Muy Alta")))))</f>
        <v>Muy Alta</v>
      </c>
      <c r="K58" s="133">
        <f t="shared" si="11"/>
        <v>1</v>
      </c>
      <c r="L58" s="139" t="s">
        <v>133</v>
      </c>
      <c r="M58" s="138" t="str">
        <f>IF(NOT(ISERROR(MATCH(L58,_xlfn.ANCHORARRAY(G75),0))),K77&amp;"Por favor no seleccionar los criterios de impacto",L58)</f>
        <v xml:space="preserve">     El riesgo afecta la imagen de la entidad a nivel nacional, con efecto publicitarios sostenible a nivel país</v>
      </c>
      <c r="N58" s="136" t="str">
        <f>IF(OR(M58='Tabla Impacto'!$C$11,M58='Tabla Impacto'!$D$11),"Leve",IF(OR(M58='Tabla Impacto'!$C$12,M58='Tabla Impacto'!$D$12),"Menor",IF(OR(M58='Tabla Impacto'!$C$13,M58='Tabla Impacto'!$D$13),"Moderado",IF(OR(M58='Tabla Impacto'!$C$14,M58='Tabla Impacto'!$D$14),"Mayor",IF(OR(M58='Tabla Impacto'!$C$15,M58='Tabla Impacto'!$D$15),"Catastrófico","")))))</f>
        <v>Catastrófico</v>
      </c>
      <c r="O58" s="135">
        <f t="shared" si="12"/>
        <v>1</v>
      </c>
      <c r="P58" s="137" t="str">
        <f t="shared" si="13"/>
        <v>Extremo</v>
      </c>
      <c r="Q58" s="129">
        <v>1</v>
      </c>
      <c r="R58" s="128" t="s">
        <v>267</v>
      </c>
      <c r="S58" s="193" t="str">
        <f>IF(OR(T58="Preventivo",T58="Detectivo"),"Probabilidad",IF(T58="Correctivo","Impacto",""))</f>
        <v>Probabilidad</v>
      </c>
      <c r="T58" s="111" t="s">
        <v>15</v>
      </c>
      <c r="U58" s="111" t="s">
        <v>10</v>
      </c>
      <c r="V58" s="112" t="str">
        <f t="shared" si="15"/>
        <v>40%</v>
      </c>
      <c r="W58" s="111" t="s">
        <v>19</v>
      </c>
      <c r="X58" s="111" t="s">
        <v>22</v>
      </c>
      <c r="Y58" s="111" t="s">
        <v>100</v>
      </c>
      <c r="Z58" s="113">
        <f t="shared" si="16"/>
        <v>0.6</v>
      </c>
      <c r="AA58" s="114" t="str">
        <f>IFERROR(IF(Z58="","",IF(Z58&lt;=0.2,"Muy Baja",IF(Z58&lt;=0.4,"Baja",IF(Z58&lt;=0.6,"Media",IF(Z58&lt;=0.8,"Alta","Muy Alta"))))),"")</f>
        <v>Media</v>
      </c>
      <c r="AB58" s="112">
        <f t="shared" si="18"/>
        <v>0.6</v>
      </c>
      <c r="AC58" s="114" t="str">
        <f t="shared" si="19"/>
        <v>Catastrófico</v>
      </c>
      <c r="AD58" s="112">
        <f t="shared" si="20"/>
        <v>1</v>
      </c>
      <c r="AE58" s="115" t="str">
        <f t="shared" si="21"/>
        <v>Extremo</v>
      </c>
      <c r="AF58" s="270" t="s">
        <v>113</v>
      </c>
      <c r="AG58" s="272" t="s">
        <v>268</v>
      </c>
      <c r="AH58" s="272" t="s">
        <v>395</v>
      </c>
      <c r="AI58" s="458">
        <v>44599</v>
      </c>
      <c r="AJ58" s="274" t="s">
        <v>350</v>
      </c>
      <c r="AK58" s="450"/>
      <c r="AL58" s="266"/>
    </row>
    <row r="59" spans="1:38" ht="130.5" customHeight="1" x14ac:dyDescent="0.3">
      <c r="A59" s="305"/>
      <c r="B59" s="220" t="s">
        <v>216</v>
      </c>
      <c r="C59" s="466"/>
      <c r="D59" s="273"/>
      <c r="E59" s="273"/>
      <c r="F59" s="273"/>
      <c r="G59" s="467"/>
      <c r="H59" s="273"/>
      <c r="I59" s="482">
        <v>10000</v>
      </c>
      <c r="J59" s="134" t="str">
        <f>IF(I59&lt;=0,"",IF(I59&lt;=2,"Muy Baja",IF(I59&lt;=24,"Baja",IF(I59&lt;=500,"Media",IF(I59&lt;=5000,"Alta","Muy Alta")))))</f>
        <v>Muy Alta</v>
      </c>
      <c r="K59" s="133">
        <f>IF(J59="","",IF(J59="Muy Baja",0.2,IF(J59="Baja",0.4,IF(J59="Media",0.6,IF(J59="Alta",0.8,IF(J59="Muy Alta",1,))))))</f>
        <v>1</v>
      </c>
      <c r="L59" s="139" t="s">
        <v>133</v>
      </c>
      <c r="M59" s="138" t="str">
        <f>IF(NOT(ISERROR(MATCH(L59,_xlfn.ANCHORARRAY(G76),0))),K78&amp;"Por favor no seleccionar los criterios de impacto",L59)</f>
        <v xml:space="preserve">     El riesgo afecta la imagen de la entidad a nivel nacional, con efecto publicitarios sostenible a nivel país</v>
      </c>
      <c r="N59" s="136" t="str">
        <f>IF(OR(M59='Tabla Impacto'!$C$11,M59='Tabla Impacto'!$D$11),"Leve",IF(OR(M59='Tabla Impacto'!$C$12,M59='Tabla Impacto'!$D$12),"Menor",IF(OR(M59='Tabla Impacto'!$C$13,M59='Tabla Impacto'!$D$13),"Moderado",IF(OR(M59='Tabla Impacto'!$C$14,M59='Tabla Impacto'!$D$14),"Mayor",IF(OR(M59='Tabla Impacto'!$C$15,M59='Tabla Impacto'!$D$15),"Catastrófico","")))))</f>
        <v>Catastrófico</v>
      </c>
      <c r="O59" s="135">
        <f t="shared" si="12"/>
        <v>1</v>
      </c>
      <c r="P59" s="137" t="str">
        <f t="shared" si="13"/>
        <v>Extremo</v>
      </c>
      <c r="Q59" s="130">
        <v>2</v>
      </c>
      <c r="R59" s="132" t="s">
        <v>396</v>
      </c>
      <c r="S59" s="193" t="str">
        <f>IF(OR(T59="Preventivo",T59="Detectivo"),"Probabilidad",IF(T59="Correctivo","Impacto",""))</f>
        <v>Impacto</v>
      </c>
      <c r="T59" s="111" t="s">
        <v>16</v>
      </c>
      <c r="U59" s="111" t="s">
        <v>9</v>
      </c>
      <c r="V59" s="112" t="str">
        <f t="shared" si="15"/>
        <v>25%</v>
      </c>
      <c r="W59" s="111" t="s">
        <v>19</v>
      </c>
      <c r="X59" s="111" t="s">
        <v>23</v>
      </c>
      <c r="Y59" s="111" t="s">
        <v>100</v>
      </c>
      <c r="Z59" s="113">
        <f t="shared" si="16"/>
        <v>1</v>
      </c>
      <c r="AA59" s="114" t="str">
        <f>IFERROR(IF(Z59="","",IF(Z59&lt;=0.2,"Muy Baja",IF(Z59&lt;=0.4,"Baja",IF(Z59&lt;=0.6,"Media",IF(Z59&lt;=0.8,"Alta","Muy Alta"))))),"")</f>
        <v>Muy Alta</v>
      </c>
      <c r="AB59" s="112">
        <f>+Z59</f>
        <v>1</v>
      </c>
      <c r="AC59" s="114" t="str">
        <f>IFERROR(IF(AD59="","",IF(AD59&lt;=0.2,"Leve",IF(AD59&lt;=0.4,"Menor",IF(AD59&lt;=0.6,"Moderado",IF(AD59&lt;=0.8,"Mayor","Catastrófico"))))),"")</f>
        <v>Mayor</v>
      </c>
      <c r="AD59" s="112">
        <f>IFERROR(IF(S59="Impacto",(O59-(+O59*V59)),IF(S59="Probabilidad",O59,"")),"")</f>
        <v>0.75</v>
      </c>
      <c r="AE59" s="115" t="str">
        <f>IFERROR(IF(OR(AND(AA59="Muy Baja",AC59="Leve"),AND(AA59="Muy Baja",AC59="Menor"),AND(AA59="Baja",AC59="Leve")),"Bajo",IF(OR(AND(AA59="Muy baja",AC59="Moderado"),AND(AA59="Baja",AC59="Menor"),AND(AA59="Baja",AC59="Moderado"),AND(AA59="Media",AC59="Leve"),AND(AA59="Media",AC59="Menor"),AND(AA59="Media",AC59="Moderado"),AND(AA59="Alta",AC59="Leve"),AND(AA59="Alta",AC59="Menor")),"Moderado",IF(OR(AND(AA59="Muy Baja",AC59="Mayor"),AND(AA59="Baja",AC59="Mayor"),AND(AA59="Media",AC59="Mayor"),AND(AA59="Alta",AC59="Moderado"),AND(AA59="Alta",AC59="Mayor"),AND(AA59="Muy Alta",AC59="Leve"),AND(AA59="Muy Alta",AC59="Menor"),AND(AA59="Muy Alta",AC59="Moderado"),AND(AA59="Muy Alta",AC59="Mayor")),"Alto",IF(OR(AND(AA59="Muy Baja",AC59="Catastrófico"),AND(AA59="Baja",AC59="Catastrófico"),AND(AA59="Media",AC59="Catastrófico"),AND(AA59="Alta",AC59="Catastrófico"),AND(AA59="Muy Alta",AC59="Catastrófico")),"Extremo","")))),"")</f>
        <v>Alto</v>
      </c>
      <c r="AF59" s="271"/>
      <c r="AG59" s="273"/>
      <c r="AH59" s="273"/>
      <c r="AI59" s="273"/>
      <c r="AJ59" s="275"/>
      <c r="AK59" s="297"/>
      <c r="AL59" s="267"/>
    </row>
    <row r="60" spans="1:38" ht="151.5" customHeight="1" x14ac:dyDescent="0.3">
      <c r="A60" s="122" t="s">
        <v>216</v>
      </c>
      <c r="B60" s="220" t="s">
        <v>216</v>
      </c>
      <c r="C60" s="483">
        <v>66</v>
      </c>
      <c r="D60" s="484" t="s">
        <v>109</v>
      </c>
      <c r="E60" s="484" t="s">
        <v>269</v>
      </c>
      <c r="F60" s="484" t="s">
        <v>270</v>
      </c>
      <c r="G60" s="485" t="s">
        <v>397</v>
      </c>
      <c r="H60" s="484" t="s">
        <v>107</v>
      </c>
      <c r="I60" s="482">
        <v>60000</v>
      </c>
      <c r="J60" s="134" t="str">
        <f t="shared" si="23"/>
        <v>Muy Alta</v>
      </c>
      <c r="K60" s="133">
        <f t="shared" ref="K60:K66" si="24">IF(J60="","",IF(J60="Muy Baja",0.2,IF(J60="Baja",0.4,IF(J60="Media",0.6,IF(J60="Alta",0.8,IF(J60="Muy Alta",1,))))))</f>
        <v>1</v>
      </c>
      <c r="L60" s="171" t="s">
        <v>133</v>
      </c>
      <c r="M60" s="127" t="str">
        <f t="shared" ref="M60:M66" si="25">IF(NOT(ISERROR(MATCH(L60,_xlfn.ANCHORARRAY(G76),0))),K78&amp;"Por favor no seleccionar los criterios de impacto",L60)</f>
        <v xml:space="preserve">     El riesgo afecta la imagen de la entidad a nivel nacional, con efecto publicitarios sostenible a nivel país</v>
      </c>
      <c r="N60" s="136" t="str">
        <f>IF(OR(M60='Tabla Impacto'!$C$11,M60='Tabla Impacto'!$D$11),"Leve",IF(OR(M60='Tabla Impacto'!$C$12,M60='Tabla Impacto'!$D$12),"Menor",IF(OR(M60='Tabla Impacto'!$C$13,M60='Tabla Impacto'!$D$13),"Moderado",IF(OR(M60='Tabla Impacto'!$C$14,M60='Tabla Impacto'!$D$14),"Mayor",IF(OR(M60='Tabla Impacto'!$C$15,M60='Tabla Impacto'!$D$15),"Catastrófico","")))))</f>
        <v>Catastrófico</v>
      </c>
      <c r="O60" s="133">
        <f t="shared" ref="O60:O66" si="26">IF(N60="","",IF(N60="Leve",0.2,IF(N60="Menor",0.4,IF(N60="Moderado",0.6,IF(N60="Mayor",0.8,IF(N60="Catastrófico",1,))))))</f>
        <v>1</v>
      </c>
      <c r="P60" s="172" t="str">
        <f t="shared" ref="P60:P66" si="27">IF(OR(AND(J60="Muy Baja",N60="Leve"),AND(J60="Muy Baja",N60="Menor"),AND(J60="Baja",N60="Leve")),"Bajo",IF(OR(AND(J60="Muy baja",N60="Moderado"),AND(J60="Baja",N60="Menor"),AND(J60="Baja",N60="Moderado"),AND(J60="Media",N60="Leve"),AND(J60="Media",N60="Menor"),AND(J60="Media",N60="Moderado"),AND(J60="Alta",N60="Leve"),AND(J60="Alta",N60="Menor")),"Moderado",IF(OR(AND(J60="Muy Baja",N60="Mayor"),AND(J60="Baja",N60="Mayor"),AND(J60="Media",N60="Mayor"),AND(J60="Alta",N60="Moderado"),AND(J60="Alta",N60="Mayor"),AND(J60="Muy Alta",N60="Leve"),AND(J60="Muy Alta",N60="Menor"),AND(J60="Muy Alta",N60="Moderado"),AND(J60="Muy Alta",N60="Mayor")),"Alto",IF(OR(AND(J60="Muy Baja",N60="Catastrófico"),AND(J60="Baja",N60="Catastrófico"),AND(J60="Media",N60="Catastrófico"),AND(J60="Alta",N60="Catastrófico"),AND(J60="Muy Alta",N60="Catastrófico")),"Extremo",""))))</f>
        <v>Extremo</v>
      </c>
      <c r="Q60" s="140">
        <v>1</v>
      </c>
      <c r="R60" s="131" t="s">
        <v>398</v>
      </c>
      <c r="S60" s="192" t="str">
        <f t="shared" ref="S60:S66" si="28">IF(OR(T60="Preventivo",T60="Detectivo"),"Probabilidad",IF(T60="Correctivo","Impacto",""))</f>
        <v>Impacto</v>
      </c>
      <c r="T60" s="111" t="s">
        <v>16</v>
      </c>
      <c r="U60" s="111" t="s">
        <v>9</v>
      </c>
      <c r="V60" s="112" t="str">
        <f t="shared" ref="V60:V66" si="29">IF(AND(T60="Preventivo",U60="Automático"),"50%",IF(AND(T60="Preventivo",U60="Manual"),"40%",IF(AND(T60="Detectivo",U60="Automático"),"40%",IF(AND(T60="Detectivo",U60="Manual"),"30%",IF(AND(T60="Correctivo",U60="Automático"),"35%",IF(AND(T60="Correctivo",U60="Manual"),"25%",""))))))</f>
        <v>25%</v>
      </c>
      <c r="W60" s="111" t="s">
        <v>19</v>
      </c>
      <c r="X60" s="111" t="s">
        <v>23</v>
      </c>
      <c r="Y60" s="111" t="s">
        <v>100</v>
      </c>
      <c r="Z60" s="113">
        <f t="shared" si="16"/>
        <v>1</v>
      </c>
      <c r="AA60" s="114" t="str">
        <f t="shared" ref="AA60:AA66" si="30">IFERROR(IF(Z60="","",IF(Z60&lt;=0.2,"Muy Baja",IF(Z60&lt;=0.4,"Baja",IF(Z60&lt;=0.6,"Media",IF(Z60&lt;=0.8,"Alta","Muy Alta"))))),"")</f>
        <v>Muy Alta</v>
      </c>
      <c r="AB60" s="112">
        <f t="shared" ref="AB60:AB66" si="31">+Z60</f>
        <v>1</v>
      </c>
      <c r="AC60" s="114" t="str">
        <f t="shared" ref="AC60:AC62" si="32">IFERROR(IF(AD60="","",IF(AD60&lt;=0.2,"Leve",IF(AD60&lt;=0.4,"Menor",IF(AD60&lt;=0.6,"Moderado",IF(AD60&lt;=0.8,"Mayor","Catastrófico"))))),"")</f>
        <v>Mayor</v>
      </c>
      <c r="AD60" s="112">
        <f t="shared" ref="AD60:AD66" si="33">IFERROR(IF(S60="Impacto",(O60-(+O60*V60)),IF(S60="Probabilidad",O60,"")),"")</f>
        <v>0.75</v>
      </c>
      <c r="AE60" s="115" t="str">
        <f t="shared" ref="AE60:AE66" si="34">IFERROR(IF(OR(AND(AA60="Muy Baja",AC60="Leve"),AND(AA60="Muy Baja",AC60="Menor"),AND(AA60="Baja",AC60="Leve")),"Bajo",IF(OR(AND(AA60="Muy baja",AC60="Moderado"),AND(AA60="Baja",AC60="Menor"),AND(AA60="Baja",AC60="Moderado"),AND(AA60="Media",AC60="Leve"),AND(AA60="Media",AC60="Menor"),AND(AA60="Media",AC60="Moderado"),AND(AA60="Alta",AC60="Leve"),AND(AA60="Alta",AC60="Menor")),"Moderado",IF(OR(AND(AA60="Muy Baja",AC60="Mayor"),AND(AA60="Baja",AC60="Mayor"),AND(AA60="Media",AC60="Mayor"),AND(AA60="Alta",AC60="Moderado"),AND(AA60="Alta",AC60="Mayor"),AND(AA60="Muy Alta",AC60="Leve"),AND(AA60="Muy Alta",AC60="Menor"),AND(AA60="Muy Alta",AC60="Moderado"),AND(AA60="Muy Alta",AC60="Mayor")),"Alto",IF(OR(AND(AA60="Muy Baja",AC60="Catastrófico"),AND(AA60="Baja",AC60="Catastrófico"),AND(AA60="Media",AC60="Catastrófico"),AND(AA60="Alta",AC60="Catastrófico"),AND(AA60="Muy Alta",AC60="Catastrófico")),"Extremo","")))),"")</f>
        <v>Alto</v>
      </c>
      <c r="AF60" s="111" t="s">
        <v>113</v>
      </c>
      <c r="AG60" s="145" t="s">
        <v>271</v>
      </c>
      <c r="AH60" s="145" t="s">
        <v>395</v>
      </c>
      <c r="AI60" s="146">
        <v>44648</v>
      </c>
      <c r="AJ60" s="146" t="s">
        <v>350</v>
      </c>
      <c r="AK60" s="214"/>
      <c r="AL60" s="117"/>
    </row>
    <row r="61" spans="1:38" ht="66" customHeight="1" x14ac:dyDescent="0.3">
      <c r="A61" s="306" t="s">
        <v>217</v>
      </c>
      <c r="B61" s="198" t="s">
        <v>218</v>
      </c>
      <c r="C61" s="309">
        <v>67</v>
      </c>
      <c r="D61" s="282" t="s">
        <v>109</v>
      </c>
      <c r="E61" s="282" t="s">
        <v>461</v>
      </c>
      <c r="F61" s="282" t="s">
        <v>462</v>
      </c>
      <c r="G61" s="303" t="s">
        <v>463</v>
      </c>
      <c r="H61" s="282" t="s">
        <v>355</v>
      </c>
      <c r="I61" s="201">
        <v>200</v>
      </c>
      <c r="J61" s="200" t="str">
        <f t="shared" si="23"/>
        <v>Media</v>
      </c>
      <c r="K61" s="199">
        <f t="shared" si="24"/>
        <v>0.6</v>
      </c>
      <c r="L61" s="202" t="s">
        <v>131</v>
      </c>
      <c r="M61" s="164" t="str">
        <f t="shared" si="25"/>
        <v xml:space="preserve">     El riesgo afecta la imagen de la entidad con algunos usuarios de relevancia frente al logro de los objetivos</v>
      </c>
      <c r="N61" s="203" t="str">
        <f>IF(OR(M61='Tabla Impacto'!$C$11,M61='Tabla Impacto'!$D$11),"Leve",IF(OR(M61='Tabla Impacto'!$C$12,M61='Tabla Impacto'!$D$12),"Menor",IF(OR(M61='Tabla Impacto'!$C$13,M61='Tabla Impacto'!$D$13),"Moderado",IF(OR(M61='Tabla Impacto'!$C$14,M61='Tabla Impacto'!$D$14),"Mayor",IF(OR(M61='Tabla Impacto'!$C$15,M61='Tabla Impacto'!$D$15),"Catastrófico","")))))</f>
        <v>Moderado</v>
      </c>
      <c r="O61" s="164">
        <f t="shared" si="26"/>
        <v>0.6</v>
      </c>
      <c r="P61" s="204" t="str">
        <f t="shared" si="27"/>
        <v>Moderado</v>
      </c>
      <c r="Q61" s="173">
        <v>1</v>
      </c>
      <c r="R61" s="175" t="s">
        <v>311</v>
      </c>
      <c r="S61" s="194" t="str">
        <f t="shared" si="28"/>
        <v>Probabilidad</v>
      </c>
      <c r="T61" s="147" t="s">
        <v>14</v>
      </c>
      <c r="U61" s="147" t="s">
        <v>9</v>
      </c>
      <c r="V61" s="159" t="str">
        <f t="shared" si="29"/>
        <v>40%</v>
      </c>
      <c r="W61" s="147" t="s">
        <v>19</v>
      </c>
      <c r="X61" s="147" t="s">
        <v>22</v>
      </c>
      <c r="Y61" s="147" t="s">
        <v>100</v>
      </c>
      <c r="Z61" s="160">
        <f>IFERROR(IF(S61="Probabilidad",(K61-(+K61*V61)),IF(S61="Impacto",K61,"")),"")</f>
        <v>0.36</v>
      </c>
      <c r="AA61" s="161" t="str">
        <f t="shared" si="30"/>
        <v>Baja</v>
      </c>
      <c r="AB61" s="159">
        <f>+Z61</f>
        <v>0.36</v>
      </c>
      <c r="AC61" s="161" t="str">
        <f t="shared" si="32"/>
        <v>Moderado</v>
      </c>
      <c r="AD61" s="159">
        <f t="shared" si="33"/>
        <v>0.6</v>
      </c>
      <c r="AE61" s="162" t="str">
        <f t="shared" si="34"/>
        <v>Moderado</v>
      </c>
      <c r="AF61" s="300" t="s">
        <v>31</v>
      </c>
      <c r="AG61" s="221"/>
      <c r="AH61" s="459"/>
      <c r="AI61" s="222"/>
      <c r="AJ61" s="222"/>
      <c r="AK61" s="452"/>
      <c r="AL61" s="163"/>
    </row>
    <row r="62" spans="1:38" ht="56.25" customHeight="1" x14ac:dyDescent="0.3">
      <c r="A62" s="307"/>
      <c r="B62" s="198" t="s">
        <v>218</v>
      </c>
      <c r="C62" s="309"/>
      <c r="D62" s="282"/>
      <c r="E62" s="282"/>
      <c r="F62" s="282"/>
      <c r="G62" s="303"/>
      <c r="H62" s="282"/>
      <c r="I62" s="201">
        <v>200</v>
      </c>
      <c r="J62" s="200" t="str">
        <f t="shared" si="23"/>
        <v>Media</v>
      </c>
      <c r="K62" s="199">
        <f t="shared" si="24"/>
        <v>0.6</v>
      </c>
      <c r="L62" s="202" t="s">
        <v>131</v>
      </c>
      <c r="M62" s="164" t="str">
        <f t="shared" si="25"/>
        <v xml:space="preserve">     El riesgo afecta la imagen de la entidad con algunos usuarios de relevancia frente al logro de los objetivos</v>
      </c>
      <c r="N62" s="203" t="str">
        <f>IF(OR(M62='Tabla Impacto'!$C$11,M62='Tabla Impacto'!$D$11),"Leve",IF(OR(M62='Tabla Impacto'!$C$12,M62='Tabla Impacto'!$D$12),"Menor",IF(OR(M62='Tabla Impacto'!$C$13,M62='Tabla Impacto'!$D$13),"Moderado",IF(OR(M62='Tabla Impacto'!$C$14,M62='Tabla Impacto'!$D$14),"Mayor",IF(OR(M62='Tabla Impacto'!$C$15,M62='Tabla Impacto'!$D$15),"Catastrófico","")))))</f>
        <v>Moderado</v>
      </c>
      <c r="O62" s="164">
        <f t="shared" si="26"/>
        <v>0.6</v>
      </c>
      <c r="P62" s="204" t="str">
        <f t="shared" si="27"/>
        <v>Moderado</v>
      </c>
      <c r="Q62" s="174">
        <v>2</v>
      </c>
      <c r="R62" s="176" t="s">
        <v>312</v>
      </c>
      <c r="S62" s="194" t="str">
        <f t="shared" si="28"/>
        <v>Probabilidad</v>
      </c>
      <c r="T62" s="165" t="s">
        <v>15</v>
      </c>
      <c r="U62" s="165" t="s">
        <v>9</v>
      </c>
      <c r="V62" s="159" t="str">
        <f t="shared" si="29"/>
        <v>30%</v>
      </c>
      <c r="W62" s="147" t="s">
        <v>19</v>
      </c>
      <c r="X62" s="147" t="s">
        <v>22</v>
      </c>
      <c r="Y62" s="165" t="s">
        <v>100</v>
      </c>
      <c r="Z62" s="160">
        <f>IFERROR(IF(S62="Probabilidad",(K62-(+K62*V62)),IF(S62="Impacto",K62,"")),"")</f>
        <v>0.42</v>
      </c>
      <c r="AA62" s="161" t="str">
        <f t="shared" si="30"/>
        <v>Media</v>
      </c>
      <c r="AB62" s="159">
        <f>+Z62</f>
        <v>0.42</v>
      </c>
      <c r="AC62" s="161" t="str">
        <f t="shared" si="32"/>
        <v>Moderado</v>
      </c>
      <c r="AD62" s="159">
        <f t="shared" si="33"/>
        <v>0.6</v>
      </c>
      <c r="AE62" s="162" t="str">
        <f t="shared" si="34"/>
        <v>Moderado</v>
      </c>
      <c r="AF62" s="301"/>
      <c r="AG62" s="219"/>
      <c r="AH62" s="201"/>
      <c r="AI62" s="454"/>
      <c r="AJ62" s="454"/>
      <c r="AK62" s="453"/>
      <c r="AL62" s="218"/>
    </row>
    <row r="63" spans="1:38" ht="90" customHeight="1" x14ac:dyDescent="0.3">
      <c r="A63" s="307"/>
      <c r="B63" s="198" t="s">
        <v>218</v>
      </c>
      <c r="C63" s="309"/>
      <c r="D63" s="282"/>
      <c r="E63" s="282"/>
      <c r="F63" s="282"/>
      <c r="G63" s="303"/>
      <c r="H63" s="282"/>
      <c r="I63" s="201">
        <v>200</v>
      </c>
      <c r="J63" s="200" t="str">
        <f t="shared" si="23"/>
        <v>Media</v>
      </c>
      <c r="K63" s="199">
        <f t="shared" si="24"/>
        <v>0.6</v>
      </c>
      <c r="L63" s="202" t="s">
        <v>131</v>
      </c>
      <c r="M63" s="164" t="str">
        <f t="shared" si="25"/>
        <v xml:space="preserve">     El riesgo afecta la imagen de la entidad con algunos usuarios de relevancia frente al logro de los objetivos</v>
      </c>
      <c r="N63" s="203" t="str">
        <f>IF(OR(M63='Tabla Impacto'!$C$11,M63='Tabla Impacto'!$D$11),"Leve",IF(OR(M63='Tabla Impacto'!$C$12,M63='Tabla Impacto'!$D$12),"Menor",IF(OR(M63='Tabla Impacto'!$C$13,M63='Tabla Impacto'!$D$13),"Moderado",IF(OR(M63='Tabla Impacto'!$C$14,M63='Tabla Impacto'!$D$14),"Mayor",IF(OR(M63='Tabla Impacto'!$C$15,M63='Tabla Impacto'!$D$15),"Catastrófico","")))))</f>
        <v>Moderado</v>
      </c>
      <c r="O63" s="164">
        <f t="shared" si="26"/>
        <v>0.6</v>
      </c>
      <c r="P63" s="204" t="str">
        <f t="shared" si="27"/>
        <v>Moderado</v>
      </c>
      <c r="Q63" s="174">
        <v>3</v>
      </c>
      <c r="R63" s="176" t="s">
        <v>464</v>
      </c>
      <c r="S63" s="194" t="str">
        <f t="shared" si="28"/>
        <v>Probabilidad</v>
      </c>
      <c r="T63" s="165" t="s">
        <v>15</v>
      </c>
      <c r="U63" s="165" t="s">
        <v>9</v>
      </c>
      <c r="V63" s="159" t="str">
        <f t="shared" si="29"/>
        <v>30%</v>
      </c>
      <c r="W63" s="147" t="s">
        <v>19</v>
      </c>
      <c r="X63" s="147" t="s">
        <v>22</v>
      </c>
      <c r="Y63" s="165" t="s">
        <v>100</v>
      </c>
      <c r="Z63" s="160">
        <f t="shared" si="16"/>
        <v>0.42</v>
      </c>
      <c r="AA63" s="161" t="str">
        <f t="shared" si="30"/>
        <v>Media</v>
      </c>
      <c r="AB63" s="159">
        <f>+Z63</f>
        <v>0.42</v>
      </c>
      <c r="AC63" s="161" t="str">
        <f>IFERROR(IF(AD63="","",IF(AD63&lt;=0.2,"Leve",IF(AD63&lt;=0.4,"Menor",IF(AD63&lt;=0.6,"Moderado",IF(AD63&lt;=0.8,"Mayor","Catastrófico"))))),"")</f>
        <v>Moderado</v>
      </c>
      <c r="AD63" s="159">
        <f t="shared" si="33"/>
        <v>0.6</v>
      </c>
      <c r="AE63" s="162" t="str">
        <f t="shared" si="34"/>
        <v>Moderado</v>
      </c>
      <c r="AF63" s="301"/>
      <c r="AG63" s="219"/>
      <c r="AH63" s="201"/>
      <c r="AI63" s="454"/>
      <c r="AJ63" s="454"/>
      <c r="AK63" s="453"/>
      <c r="AL63" s="218"/>
    </row>
    <row r="64" spans="1:38" ht="67.5" customHeight="1" x14ac:dyDescent="0.3">
      <c r="A64" s="307"/>
      <c r="B64" s="198" t="s">
        <v>218</v>
      </c>
      <c r="C64" s="309"/>
      <c r="D64" s="282"/>
      <c r="E64" s="282"/>
      <c r="F64" s="282"/>
      <c r="G64" s="303"/>
      <c r="H64" s="282"/>
      <c r="I64" s="201">
        <v>200</v>
      </c>
      <c r="J64" s="200" t="str">
        <f t="shared" si="23"/>
        <v>Media</v>
      </c>
      <c r="K64" s="199">
        <f t="shared" si="24"/>
        <v>0.6</v>
      </c>
      <c r="L64" s="202" t="s">
        <v>131</v>
      </c>
      <c r="M64" s="164" t="str">
        <f t="shared" si="25"/>
        <v xml:space="preserve">     El riesgo afecta la imagen de la entidad con algunos usuarios de relevancia frente al logro de los objetivos</v>
      </c>
      <c r="N64" s="203" t="str">
        <f>IF(OR(M64='Tabla Impacto'!$C$11,M64='Tabla Impacto'!$D$11),"Leve",IF(OR(M64='Tabla Impacto'!$C$12,M64='Tabla Impacto'!$D$12),"Menor",IF(OR(M64='Tabla Impacto'!$C$13,M64='Tabla Impacto'!$D$13),"Moderado",IF(OR(M64='Tabla Impacto'!$C$14,M64='Tabla Impacto'!$D$14),"Mayor",IF(OR(M64='Tabla Impacto'!$C$15,M64='Tabla Impacto'!$D$15),"Catastrófico","")))))</f>
        <v>Moderado</v>
      </c>
      <c r="O64" s="164">
        <f t="shared" si="26"/>
        <v>0.6</v>
      </c>
      <c r="P64" s="204" t="str">
        <f t="shared" si="27"/>
        <v>Moderado</v>
      </c>
      <c r="Q64" s="174">
        <v>4</v>
      </c>
      <c r="R64" s="176" t="s">
        <v>313</v>
      </c>
      <c r="S64" s="194" t="str">
        <f t="shared" si="28"/>
        <v>Impacto</v>
      </c>
      <c r="T64" s="165" t="s">
        <v>16</v>
      </c>
      <c r="U64" s="165" t="s">
        <v>9</v>
      </c>
      <c r="V64" s="159" t="str">
        <f t="shared" si="29"/>
        <v>25%</v>
      </c>
      <c r="W64" s="147" t="s">
        <v>19</v>
      </c>
      <c r="X64" s="147" t="s">
        <v>23</v>
      </c>
      <c r="Y64" s="165" t="s">
        <v>100</v>
      </c>
      <c r="Z64" s="160">
        <f t="shared" si="16"/>
        <v>0.6</v>
      </c>
      <c r="AA64" s="161" t="str">
        <f t="shared" si="30"/>
        <v>Media</v>
      </c>
      <c r="AB64" s="159">
        <f>+Z64</f>
        <v>0.6</v>
      </c>
      <c r="AC64" s="161" t="str">
        <f>IFERROR(IF(AD64="","",IF(AD64&lt;=0.2,"Leve",IF(AD64&lt;=0.4,"Menor",IF(AD64&lt;=0.6,"Moderado",IF(AD64&lt;=0.8,"Mayor","Catastrófico"))))),"")</f>
        <v>Moderado</v>
      </c>
      <c r="AD64" s="159">
        <f t="shared" si="33"/>
        <v>0.44999999999999996</v>
      </c>
      <c r="AE64" s="162" t="str">
        <f t="shared" si="34"/>
        <v>Moderado</v>
      </c>
      <c r="AF64" s="301"/>
      <c r="AG64" s="219"/>
      <c r="AH64" s="201"/>
      <c r="AI64" s="454"/>
      <c r="AJ64" s="454"/>
      <c r="AK64" s="453"/>
      <c r="AL64" s="218"/>
    </row>
    <row r="65" spans="1:38" ht="72" customHeight="1" x14ac:dyDescent="0.3">
      <c r="A65" s="307"/>
      <c r="B65" s="198" t="s">
        <v>218</v>
      </c>
      <c r="C65" s="309"/>
      <c r="D65" s="282"/>
      <c r="E65" s="282"/>
      <c r="F65" s="282"/>
      <c r="G65" s="303"/>
      <c r="H65" s="282"/>
      <c r="I65" s="201">
        <v>200</v>
      </c>
      <c r="J65" s="200" t="str">
        <f t="shared" si="23"/>
        <v>Media</v>
      </c>
      <c r="K65" s="199">
        <f t="shared" si="24"/>
        <v>0.6</v>
      </c>
      <c r="L65" s="202" t="s">
        <v>131</v>
      </c>
      <c r="M65" s="164" t="str">
        <f t="shared" si="25"/>
        <v xml:space="preserve">     El riesgo afecta la imagen de la entidad con algunos usuarios de relevancia frente al logro de los objetivos</v>
      </c>
      <c r="N65" s="203" t="str">
        <f>IF(OR(M65='Tabla Impacto'!$C$11,M65='Tabla Impacto'!$D$11),"Leve",IF(OR(M65='Tabla Impacto'!$C$12,M65='Tabla Impacto'!$D$12),"Menor",IF(OR(M65='Tabla Impacto'!$C$13,M65='Tabla Impacto'!$D$13),"Moderado",IF(OR(M65='Tabla Impacto'!$C$14,M65='Tabla Impacto'!$D$14),"Mayor",IF(OR(M65='Tabla Impacto'!$C$15,M65='Tabla Impacto'!$D$15),"Catastrófico","")))))</f>
        <v>Moderado</v>
      </c>
      <c r="O65" s="164">
        <f t="shared" si="26"/>
        <v>0.6</v>
      </c>
      <c r="P65" s="204" t="str">
        <f t="shared" si="27"/>
        <v>Moderado</v>
      </c>
      <c r="Q65" s="177">
        <v>5</v>
      </c>
      <c r="R65" s="178" t="s">
        <v>314</v>
      </c>
      <c r="S65" s="194" t="str">
        <f t="shared" si="28"/>
        <v>Probabilidad</v>
      </c>
      <c r="T65" s="179" t="s">
        <v>15</v>
      </c>
      <c r="U65" s="179" t="s">
        <v>9</v>
      </c>
      <c r="V65" s="159" t="str">
        <f t="shared" si="29"/>
        <v>30%</v>
      </c>
      <c r="W65" s="147" t="s">
        <v>19</v>
      </c>
      <c r="X65" s="147" t="s">
        <v>22</v>
      </c>
      <c r="Y65" s="179" t="s">
        <v>100</v>
      </c>
      <c r="Z65" s="160">
        <f t="shared" si="16"/>
        <v>0.42</v>
      </c>
      <c r="AA65" s="161" t="str">
        <f t="shared" si="30"/>
        <v>Media</v>
      </c>
      <c r="AB65" s="159">
        <f t="shared" si="31"/>
        <v>0.42</v>
      </c>
      <c r="AC65" s="161" t="str">
        <f>IFERROR(IF(AD65="","",IF(AD65&lt;=0.2,"Leve",IF(AD65&lt;=0.4,"Menor",IF(AD65&lt;=0.6,"Moderado",IF(AD65&lt;=0.8,"Mayor","Catastrófico"))))),"")</f>
        <v>Moderado</v>
      </c>
      <c r="AD65" s="159">
        <f t="shared" si="33"/>
        <v>0.6</v>
      </c>
      <c r="AE65" s="162" t="str">
        <f t="shared" si="34"/>
        <v>Moderado</v>
      </c>
      <c r="AF65" s="301"/>
      <c r="AG65" s="219"/>
      <c r="AH65" s="201"/>
      <c r="AI65" s="454"/>
      <c r="AJ65" s="454"/>
      <c r="AK65" s="453"/>
      <c r="AL65" s="218"/>
    </row>
    <row r="66" spans="1:38" ht="66.75" customHeight="1" x14ac:dyDescent="0.3">
      <c r="A66" s="308"/>
      <c r="B66" s="198" t="s">
        <v>218</v>
      </c>
      <c r="C66" s="309"/>
      <c r="D66" s="282"/>
      <c r="E66" s="282"/>
      <c r="F66" s="282"/>
      <c r="G66" s="303"/>
      <c r="H66" s="282"/>
      <c r="I66" s="201">
        <v>200</v>
      </c>
      <c r="J66" s="200" t="str">
        <f t="shared" si="23"/>
        <v>Media</v>
      </c>
      <c r="K66" s="199">
        <f t="shared" si="24"/>
        <v>0.6</v>
      </c>
      <c r="L66" s="202" t="s">
        <v>131</v>
      </c>
      <c r="M66" s="164" t="str">
        <f t="shared" si="25"/>
        <v xml:space="preserve">     El riesgo afecta la imagen de la entidad con algunos usuarios de relevancia frente al logro de los objetivos</v>
      </c>
      <c r="N66" s="203" t="str">
        <f>IF(OR(M66='Tabla Impacto'!$C$11,M66='Tabla Impacto'!$D$11),"Leve",IF(OR(M66='Tabla Impacto'!$C$12,M66='Tabla Impacto'!$D$12),"Menor",IF(OR(M66='Tabla Impacto'!$C$13,M66='Tabla Impacto'!$D$13),"Moderado",IF(OR(M66='Tabla Impacto'!$C$14,M66='Tabla Impacto'!$D$14),"Mayor",IF(OR(M66='Tabla Impacto'!$C$15,M66='Tabla Impacto'!$D$15),"Catastrófico","")))))</f>
        <v>Moderado</v>
      </c>
      <c r="O66" s="164">
        <f t="shared" si="26"/>
        <v>0.6</v>
      </c>
      <c r="P66" s="204" t="str">
        <f t="shared" si="27"/>
        <v>Moderado</v>
      </c>
      <c r="Q66" s="180">
        <v>6</v>
      </c>
      <c r="R66" s="181" t="s">
        <v>399</v>
      </c>
      <c r="S66" s="195" t="str">
        <f t="shared" si="28"/>
        <v>Probabilidad</v>
      </c>
      <c r="T66" s="165" t="s">
        <v>14</v>
      </c>
      <c r="U66" s="165" t="s">
        <v>9</v>
      </c>
      <c r="V66" s="166" t="str">
        <f t="shared" si="29"/>
        <v>40%</v>
      </c>
      <c r="W66" s="165" t="s">
        <v>19</v>
      </c>
      <c r="X66" s="165" t="s">
        <v>22</v>
      </c>
      <c r="Y66" s="165" t="s">
        <v>100</v>
      </c>
      <c r="Z66" s="167">
        <f t="shared" si="16"/>
        <v>0.36</v>
      </c>
      <c r="AA66" s="168" t="str">
        <f t="shared" si="30"/>
        <v>Baja</v>
      </c>
      <c r="AB66" s="166">
        <f t="shared" si="31"/>
        <v>0.36</v>
      </c>
      <c r="AC66" s="161" t="str">
        <f>IFERROR(IF(AD66="","",IF(AD66&lt;=0.2,"Leve",IF(AD66&lt;=0.4,"Menor",IF(AD66&lt;=0.6,"Moderado",IF(AD66&lt;=0.8,"Mayor","Catastrófico"))))),"")</f>
        <v>Moderado</v>
      </c>
      <c r="AD66" s="159">
        <f t="shared" si="33"/>
        <v>0.6</v>
      </c>
      <c r="AE66" s="169" t="str">
        <f t="shared" si="34"/>
        <v>Moderado</v>
      </c>
      <c r="AF66" s="302"/>
      <c r="AG66" s="219"/>
      <c r="AH66" s="201"/>
      <c r="AI66" s="454"/>
      <c r="AJ66" s="454"/>
      <c r="AK66" s="170"/>
      <c r="AL66" s="218"/>
    </row>
    <row r="67" spans="1:38" ht="66.75" customHeight="1" x14ac:dyDescent="0.3">
      <c r="A67" s="148"/>
      <c r="B67" s="190"/>
      <c r="C67" s="182"/>
      <c r="D67" s="155"/>
      <c r="E67" s="155"/>
      <c r="F67" s="155"/>
      <c r="G67" s="183"/>
      <c r="H67" s="183"/>
      <c r="I67" s="156"/>
      <c r="J67" s="184"/>
      <c r="K67" s="185"/>
      <c r="L67" s="186"/>
      <c r="M67" s="149"/>
      <c r="N67" s="184"/>
      <c r="O67" s="185"/>
      <c r="P67" s="187"/>
      <c r="Q67" s="188"/>
      <c r="R67" s="189"/>
      <c r="S67" s="196"/>
      <c r="T67" s="150"/>
      <c r="U67" s="150"/>
      <c r="V67" s="151"/>
      <c r="W67" s="150"/>
      <c r="X67" s="150"/>
      <c r="Y67" s="150"/>
      <c r="Z67" s="152"/>
      <c r="AA67" s="153"/>
      <c r="AB67" s="151"/>
      <c r="AC67" s="153"/>
      <c r="AD67" s="151"/>
      <c r="AE67" s="154"/>
      <c r="AF67" s="150"/>
      <c r="AG67" s="155"/>
      <c r="AH67" s="156"/>
      <c r="AI67" s="157"/>
      <c r="AJ67" s="157"/>
      <c r="AK67" s="155"/>
      <c r="AL67" s="156"/>
    </row>
    <row r="68" spans="1:38" x14ac:dyDescent="0.3">
      <c r="M68" s="125"/>
      <c r="R68" s="158"/>
      <c r="S68" s="197"/>
    </row>
    <row r="69" spans="1:38" x14ac:dyDescent="0.3">
      <c r="R69" s="158"/>
    </row>
    <row r="70" spans="1:38" x14ac:dyDescent="0.3">
      <c r="R70" s="158"/>
    </row>
  </sheetData>
  <autoFilter ref="A6:BR66" xr:uid="{00000000-0001-0000-0100-000000000000}"/>
  <dataConsolidate/>
  <mergeCells count="119">
    <mergeCell ref="F61:F66"/>
    <mergeCell ref="AF19:AF20"/>
    <mergeCell ref="A46:A47"/>
    <mergeCell ref="C46:C47"/>
    <mergeCell ref="E46:E47"/>
    <mergeCell ref="F46:F47"/>
    <mergeCell ref="G46:G47"/>
    <mergeCell ref="AF46:AF47"/>
    <mergeCell ref="A19:A20"/>
    <mergeCell ref="C19:C20"/>
    <mergeCell ref="G19:G20"/>
    <mergeCell ref="F19:F20"/>
    <mergeCell ref="E19:E20"/>
    <mergeCell ref="A31:A32"/>
    <mergeCell ref="C31:C32"/>
    <mergeCell ref="D31:D32"/>
    <mergeCell ref="E31:E32"/>
    <mergeCell ref="F58:F59"/>
    <mergeCell ref="A58:A59"/>
    <mergeCell ref="C58:C59"/>
    <mergeCell ref="D58:D59"/>
    <mergeCell ref="E58:E59"/>
    <mergeCell ref="A61:A66"/>
    <mergeCell ref="C61:C66"/>
    <mergeCell ref="AF61:AF66"/>
    <mergeCell ref="G21:G22"/>
    <mergeCell ref="AF21:AF22"/>
    <mergeCell ref="G58:G59"/>
    <mergeCell ref="AF58:AF59"/>
    <mergeCell ref="AG58:AG59"/>
    <mergeCell ref="AH58:AH59"/>
    <mergeCell ref="AI58:AI59"/>
    <mergeCell ref="G61:G66"/>
    <mergeCell ref="Y31:Y32"/>
    <mergeCell ref="H58:H59"/>
    <mergeCell ref="H61:H66"/>
    <mergeCell ref="H31:H32"/>
    <mergeCell ref="A7:A9"/>
    <mergeCell ref="C7:C9"/>
    <mergeCell ref="D7:D9"/>
    <mergeCell ref="E7:E9"/>
    <mergeCell ref="F7:F9"/>
    <mergeCell ref="A21:A22"/>
    <mergeCell ref="C21:C22"/>
    <mergeCell ref="D21:D22"/>
    <mergeCell ref="E21:E22"/>
    <mergeCell ref="F21:F22"/>
    <mergeCell ref="AA5:AA6"/>
    <mergeCell ref="I5:I6"/>
    <mergeCell ref="S5:S6"/>
    <mergeCell ref="T5:Y5"/>
    <mergeCell ref="J5:J6"/>
    <mergeCell ref="K5:K6"/>
    <mergeCell ref="N5:N6"/>
    <mergeCell ref="O5:O6"/>
    <mergeCell ref="H5:H6"/>
    <mergeCell ref="U31:U32"/>
    <mergeCell ref="V31:V32"/>
    <mergeCell ref="W31:W32"/>
    <mergeCell ref="X31:X32"/>
    <mergeCell ref="C5:C6"/>
    <mergeCell ref="G5:G6"/>
    <mergeCell ref="F5:F6"/>
    <mergeCell ref="E5:E6"/>
    <mergeCell ref="P5:P6"/>
    <mergeCell ref="L5:L6"/>
    <mergeCell ref="M5:M6"/>
    <mergeCell ref="D5:D6"/>
    <mergeCell ref="G7:G9"/>
    <mergeCell ref="F31:F32"/>
    <mergeCell ref="G31:G32"/>
    <mergeCell ref="S31:S32"/>
    <mergeCell ref="T31:T32"/>
    <mergeCell ref="Z31:Z32"/>
    <mergeCell ref="AA31:AA32"/>
    <mergeCell ref="AB31:AB32"/>
    <mergeCell ref="AC31:AC32"/>
    <mergeCell ref="AD31:AD32"/>
    <mergeCell ref="D61:D66"/>
    <mergeCell ref="E61:E66"/>
    <mergeCell ref="C1:AL2"/>
    <mergeCell ref="C4:I4"/>
    <mergeCell ref="J4:P4"/>
    <mergeCell ref="Q4:Y4"/>
    <mergeCell ref="Z4:AF4"/>
    <mergeCell ref="AG4:AL4"/>
    <mergeCell ref="AF5:AF6"/>
    <mergeCell ref="Q5:Q6"/>
    <mergeCell ref="AE5:AE6"/>
    <mergeCell ref="AD5:AD6"/>
    <mergeCell ref="Z5:Z6"/>
    <mergeCell ref="R5:R6"/>
    <mergeCell ref="AC5:AC6"/>
    <mergeCell ref="AL5:AL6"/>
    <mergeCell ref="AK5:AK6"/>
    <mergeCell ref="AJ5:AJ6"/>
    <mergeCell ref="AI5:AI6"/>
    <mergeCell ref="AB5:AB6"/>
    <mergeCell ref="AG5:AG6"/>
    <mergeCell ref="AJ58:AJ59"/>
    <mergeCell ref="AK58:AK59"/>
    <mergeCell ref="AJ31:AJ32"/>
    <mergeCell ref="AK31:AK32"/>
    <mergeCell ref="AL31:AL32"/>
    <mergeCell ref="AE31:AE32"/>
    <mergeCell ref="AF31:AF32"/>
    <mergeCell ref="AG31:AG32"/>
    <mergeCell ref="AH31:AH32"/>
    <mergeCell ref="AI31:AI32"/>
    <mergeCell ref="AH5:AH6"/>
    <mergeCell ref="AL58:AL59"/>
    <mergeCell ref="AJ8:AJ9"/>
    <mergeCell ref="AK8:AK9"/>
    <mergeCell ref="AL8:AL9"/>
    <mergeCell ref="AF7:AF9"/>
    <mergeCell ref="AG8:AG9"/>
    <mergeCell ref="AH8:AH9"/>
    <mergeCell ref="AI8:AI9"/>
    <mergeCell ref="AL21:AL22"/>
  </mergeCells>
  <phoneticPr fontId="50" type="noConversion"/>
  <conditionalFormatting sqref="AA58:AA67 J58:J66 AA7:AA31 J39:J41 AA39:AA41 AA33:AA37 J7:J37 J44:J54 AA44:AA54">
    <cfRule type="cellIs" dxfId="93" priority="394" operator="equal">
      <formula>"Muy Alta"</formula>
    </cfRule>
    <cfRule type="cellIs" dxfId="92" priority="395" operator="equal">
      <formula>"Alta"</formula>
    </cfRule>
    <cfRule type="cellIs" dxfId="91" priority="396" operator="equal">
      <formula>"Media"</formula>
    </cfRule>
    <cfRule type="cellIs" dxfId="90" priority="397" operator="equal">
      <formula>"Baja"</formula>
    </cfRule>
    <cfRule type="cellIs" dxfId="89" priority="398" operator="equal">
      <formula>"Muy Baja"</formula>
    </cfRule>
  </conditionalFormatting>
  <conditionalFormatting sqref="AC58:AC67 N58:N66 AC7:AC31 N39:N41 AC39:AC41 AC33:AC37 N7:N37 N44:N54 AC44:AC54">
    <cfRule type="cellIs" dxfId="88" priority="389" operator="equal">
      <formula>"Catastrófico"</formula>
    </cfRule>
    <cfRule type="cellIs" dxfId="87" priority="390" operator="equal">
      <formula>"Mayor"</formula>
    </cfRule>
    <cfRule type="cellIs" dxfId="86" priority="391" operator="equal">
      <formula>"Moderado"</formula>
    </cfRule>
    <cfRule type="cellIs" dxfId="85" priority="392" operator="equal">
      <formula>"Menor"</formula>
    </cfRule>
    <cfRule type="cellIs" dxfId="84" priority="393" operator="equal">
      <formula>"Leve"</formula>
    </cfRule>
  </conditionalFormatting>
  <conditionalFormatting sqref="AE58:AE67 P58:P66 AE7:AE31 AE39:AE41 P39:P41 AE33:AE37 P7:P37 P44:P54 AE44:AE54">
    <cfRule type="cellIs" dxfId="83" priority="385" operator="equal">
      <formula>"Extremo"</formula>
    </cfRule>
    <cfRule type="cellIs" dxfId="82" priority="386" operator="equal">
      <formula>"Alto"</formula>
    </cfRule>
    <cfRule type="cellIs" dxfId="81" priority="387" operator="equal">
      <formula>"Moderado"</formula>
    </cfRule>
    <cfRule type="cellIs" dxfId="80" priority="388" operator="equal">
      <formula>"Bajo"</formula>
    </cfRule>
  </conditionalFormatting>
  <conditionalFormatting sqref="M58:M66 M39:M41 M44:M54 M7:M37">
    <cfRule type="containsText" dxfId="79" priority="76" operator="containsText" text="❌">
      <formula>NOT(ISERROR(SEARCH("❌",M7)))</formula>
    </cfRule>
  </conditionalFormatting>
  <conditionalFormatting sqref="J56 AA56">
    <cfRule type="cellIs" dxfId="78" priority="71" operator="equal">
      <formula>"Muy Alta"</formula>
    </cfRule>
    <cfRule type="cellIs" dxfId="77" priority="72" operator="equal">
      <formula>"Alta"</formula>
    </cfRule>
    <cfRule type="cellIs" dxfId="76" priority="73" operator="equal">
      <formula>"Media"</formula>
    </cfRule>
    <cfRule type="cellIs" dxfId="75" priority="74" operator="equal">
      <formula>"Baja"</formula>
    </cfRule>
    <cfRule type="cellIs" dxfId="74" priority="75" operator="equal">
      <formula>"Muy Baja"</formula>
    </cfRule>
  </conditionalFormatting>
  <conditionalFormatting sqref="N56 AC56">
    <cfRule type="cellIs" dxfId="73" priority="66" operator="equal">
      <formula>"Catastrófico"</formula>
    </cfRule>
    <cfRule type="cellIs" dxfId="72" priority="67" operator="equal">
      <formula>"Mayor"</formula>
    </cfRule>
    <cfRule type="cellIs" dxfId="71" priority="68" operator="equal">
      <formula>"Moderado"</formula>
    </cfRule>
    <cfRule type="cellIs" dxfId="70" priority="69" operator="equal">
      <formula>"Menor"</formula>
    </cfRule>
    <cfRule type="cellIs" dxfId="69" priority="70" operator="equal">
      <formula>"Leve"</formula>
    </cfRule>
  </conditionalFormatting>
  <conditionalFormatting sqref="P56 AE56">
    <cfRule type="cellIs" dxfId="68" priority="62" operator="equal">
      <formula>"Extremo"</formula>
    </cfRule>
    <cfRule type="cellIs" dxfId="67" priority="63" operator="equal">
      <formula>"Alto"</formula>
    </cfRule>
    <cfRule type="cellIs" dxfId="66" priority="64" operator="equal">
      <formula>"Moderado"</formula>
    </cfRule>
    <cfRule type="cellIs" dxfId="65" priority="65" operator="equal">
      <formula>"Bajo"</formula>
    </cfRule>
  </conditionalFormatting>
  <conditionalFormatting sqref="M56">
    <cfRule type="containsText" dxfId="64" priority="61" operator="containsText" text="❌">
      <formula>NOT(ISERROR(SEARCH("❌",M56)))</formula>
    </cfRule>
  </conditionalFormatting>
  <conditionalFormatting sqref="J55 AA55">
    <cfRule type="cellIs" dxfId="63" priority="56" operator="equal">
      <formula>"Muy Alta"</formula>
    </cfRule>
    <cfRule type="cellIs" dxfId="62" priority="57" operator="equal">
      <formula>"Alta"</formula>
    </cfRule>
    <cfRule type="cellIs" dxfId="61" priority="58" operator="equal">
      <formula>"Media"</formula>
    </cfRule>
    <cfRule type="cellIs" dxfId="60" priority="59" operator="equal">
      <formula>"Baja"</formula>
    </cfRule>
    <cfRule type="cellIs" dxfId="59" priority="60" operator="equal">
      <formula>"Muy Baja"</formula>
    </cfRule>
  </conditionalFormatting>
  <conditionalFormatting sqref="N55 AC55">
    <cfRule type="cellIs" dxfId="58" priority="51" operator="equal">
      <formula>"Catastrófico"</formula>
    </cfRule>
    <cfRule type="cellIs" dxfId="57" priority="52" operator="equal">
      <formula>"Mayor"</formula>
    </cfRule>
    <cfRule type="cellIs" dxfId="56" priority="53" operator="equal">
      <formula>"Moderado"</formula>
    </cfRule>
    <cfRule type="cellIs" dxfId="55" priority="54" operator="equal">
      <formula>"Menor"</formula>
    </cfRule>
    <cfRule type="cellIs" dxfId="54" priority="55" operator="equal">
      <formula>"Leve"</formula>
    </cfRule>
  </conditionalFormatting>
  <conditionalFormatting sqref="P55 AE55">
    <cfRule type="cellIs" dxfId="53" priority="47" operator="equal">
      <formula>"Extremo"</formula>
    </cfRule>
    <cfRule type="cellIs" dxfId="52" priority="48" operator="equal">
      <formula>"Alto"</formula>
    </cfRule>
    <cfRule type="cellIs" dxfId="51" priority="49" operator="equal">
      <formula>"Moderado"</formula>
    </cfRule>
    <cfRule type="cellIs" dxfId="50" priority="50" operator="equal">
      <formula>"Bajo"</formula>
    </cfRule>
  </conditionalFormatting>
  <conditionalFormatting sqref="M55">
    <cfRule type="containsText" dxfId="49" priority="46" operator="containsText" text="❌">
      <formula>NOT(ISERROR(SEARCH("❌",M55)))</formula>
    </cfRule>
  </conditionalFormatting>
  <conditionalFormatting sqref="J57 AA57">
    <cfRule type="cellIs" dxfId="48" priority="41" operator="equal">
      <formula>"Muy Alta"</formula>
    </cfRule>
    <cfRule type="cellIs" dxfId="47" priority="42" operator="equal">
      <formula>"Alta"</formula>
    </cfRule>
    <cfRule type="cellIs" dxfId="46" priority="43" operator="equal">
      <formula>"Media"</formula>
    </cfRule>
    <cfRule type="cellIs" dxfId="45" priority="44" operator="equal">
      <formula>"Baja"</formula>
    </cfRule>
    <cfRule type="cellIs" dxfId="44" priority="45" operator="equal">
      <formula>"Muy Baja"</formula>
    </cfRule>
  </conditionalFormatting>
  <conditionalFormatting sqref="N57 AC57">
    <cfRule type="cellIs" dxfId="43" priority="36" operator="equal">
      <formula>"Catastrófico"</formula>
    </cfRule>
    <cfRule type="cellIs" dxfId="42" priority="37" operator="equal">
      <formula>"Mayor"</formula>
    </cfRule>
    <cfRule type="cellIs" dxfId="41" priority="38" operator="equal">
      <formula>"Moderado"</formula>
    </cfRule>
    <cfRule type="cellIs" dxfId="40" priority="39" operator="equal">
      <formula>"Menor"</formula>
    </cfRule>
    <cfRule type="cellIs" dxfId="39" priority="40" operator="equal">
      <formula>"Leve"</formula>
    </cfRule>
  </conditionalFormatting>
  <conditionalFormatting sqref="P57 AE57">
    <cfRule type="cellIs" dxfId="38" priority="32" operator="equal">
      <formula>"Extremo"</formula>
    </cfRule>
    <cfRule type="cellIs" dxfId="37" priority="33" operator="equal">
      <formula>"Alto"</formula>
    </cfRule>
    <cfRule type="cellIs" dxfId="36" priority="34" operator="equal">
      <formula>"Moderado"</formula>
    </cfRule>
    <cfRule type="cellIs" dxfId="35" priority="35" operator="equal">
      <formula>"Bajo"</formula>
    </cfRule>
  </conditionalFormatting>
  <conditionalFormatting sqref="M57">
    <cfRule type="containsText" dxfId="34" priority="31" operator="containsText" text="❌">
      <formula>NOT(ISERROR(SEARCH("❌",M57)))</formula>
    </cfRule>
  </conditionalFormatting>
  <conditionalFormatting sqref="J38 AA38">
    <cfRule type="cellIs" dxfId="33" priority="26" operator="equal">
      <formula>"Muy Alta"</formula>
    </cfRule>
    <cfRule type="cellIs" dxfId="32" priority="27" operator="equal">
      <formula>"Alta"</formula>
    </cfRule>
    <cfRule type="cellIs" dxfId="31" priority="28" operator="equal">
      <formula>"Media"</formula>
    </cfRule>
    <cfRule type="cellIs" dxfId="30" priority="29" operator="equal">
      <formula>"Baja"</formula>
    </cfRule>
    <cfRule type="cellIs" dxfId="29" priority="30" operator="equal">
      <formula>"Muy Baja"</formula>
    </cfRule>
  </conditionalFormatting>
  <conditionalFormatting sqref="N38 AC38">
    <cfRule type="cellIs" dxfId="28" priority="21" operator="equal">
      <formula>"Catastrófico"</formula>
    </cfRule>
    <cfRule type="cellIs" dxfId="27" priority="22" operator="equal">
      <formula>"Mayor"</formula>
    </cfRule>
    <cfRule type="cellIs" dxfId="26" priority="23" operator="equal">
      <formula>"Moderado"</formula>
    </cfRule>
    <cfRule type="cellIs" dxfId="25" priority="24" operator="equal">
      <formula>"Menor"</formula>
    </cfRule>
    <cfRule type="cellIs" dxfId="24" priority="25" operator="equal">
      <formula>"Leve"</formula>
    </cfRule>
  </conditionalFormatting>
  <conditionalFormatting sqref="P38 AE38">
    <cfRule type="cellIs" dxfId="23" priority="17" operator="equal">
      <formula>"Extremo"</formula>
    </cfRule>
    <cfRule type="cellIs" dxfId="22" priority="18" operator="equal">
      <formula>"Alto"</formula>
    </cfRule>
    <cfRule type="cellIs" dxfId="21" priority="19" operator="equal">
      <formula>"Moderado"</formula>
    </cfRule>
    <cfRule type="cellIs" dxfId="20" priority="20" operator="equal">
      <formula>"Bajo"</formula>
    </cfRule>
  </conditionalFormatting>
  <conditionalFormatting sqref="M38">
    <cfRule type="containsText" dxfId="19" priority="16" operator="containsText" text="❌">
      <formula>NOT(ISERROR(SEARCH("❌",M38)))</formula>
    </cfRule>
  </conditionalFormatting>
  <conditionalFormatting sqref="J42:J43 AA42:AA43">
    <cfRule type="cellIs" dxfId="18" priority="11" operator="equal">
      <formula>"Muy Alta"</formula>
    </cfRule>
    <cfRule type="cellIs" dxfId="17" priority="12" operator="equal">
      <formula>"Alta"</formula>
    </cfRule>
    <cfRule type="cellIs" dxfId="16" priority="13" operator="equal">
      <formula>"Media"</formula>
    </cfRule>
    <cfRule type="cellIs" dxfId="15" priority="14" operator="equal">
      <formula>"Baja"</formula>
    </cfRule>
    <cfRule type="cellIs" dxfId="14" priority="15" operator="equal">
      <formula>"Muy Baja"</formula>
    </cfRule>
  </conditionalFormatting>
  <conditionalFormatting sqref="N42:N43 AC42:AC43">
    <cfRule type="cellIs" dxfId="13" priority="6" operator="equal">
      <formula>"Catastrófico"</formula>
    </cfRule>
    <cfRule type="cellIs" dxfId="12" priority="7" operator="equal">
      <formula>"Mayor"</formula>
    </cfRule>
    <cfRule type="cellIs" dxfId="11" priority="8" operator="equal">
      <formula>"Moderado"</formula>
    </cfRule>
    <cfRule type="cellIs" dxfId="10" priority="9" operator="equal">
      <formula>"Menor"</formula>
    </cfRule>
    <cfRule type="cellIs" dxfId="9" priority="10" operator="equal">
      <formula>"Leve"</formula>
    </cfRule>
  </conditionalFormatting>
  <conditionalFormatting sqref="P42:P43 AE42:AE43">
    <cfRule type="cellIs" dxfId="8" priority="2" operator="equal">
      <formula>"Extremo"</formula>
    </cfRule>
    <cfRule type="cellIs" dxfId="7" priority="3" operator="equal">
      <formula>"Alto"</formula>
    </cfRule>
    <cfRule type="cellIs" dxfId="6" priority="4" operator="equal">
      <formula>"Moderado"</formula>
    </cfRule>
    <cfRule type="cellIs" dxfId="5" priority="5" operator="equal">
      <formula>"Bajo"</formula>
    </cfRule>
  </conditionalFormatting>
  <conditionalFormatting sqref="M42:M43">
    <cfRule type="containsText" dxfId="4" priority="1" operator="containsText" text="❌">
      <formula>NOT(ISERROR(SEARCH("❌",M42)))</formula>
    </cfRule>
  </conditionalFormatting>
  <dataValidations count="1">
    <dataValidation type="list" allowBlank="1" showInputMessage="1" showErrorMessage="1" sqref="W7:Y31 W58:Y67 W39:Y39 W41:Y41 W33:Y37 W44:Y54 T7:U31 T58:U67 T39:U39 T41:U41 T33:U37 T44:U54" xr:uid="{00000000-0002-0000-0100-000000000000}">
      <formula1>#REF!</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100-000004000000}">
          <x14:formula1>
            <xm:f>'Opciones Tratamiento'!$B$9:$B$10</xm:f>
          </x14:formula1>
          <xm:sqref>AL33:AL58 AL60:AL67 AL23:AL31 AL7:AL8 AL10:AL21</xm:sqref>
        </x14:dataValidation>
        <x14:dataValidation type="list" allowBlank="1" showInputMessage="1" showErrorMessage="1" xr:uid="{00000000-0002-0000-0100-000007000000}">
          <x14:formula1>
            <xm:f>'Opciones Tratamiento'!$E$2:$E$4</xm:f>
          </x14:formula1>
          <xm:sqref>D7 D60:D61 D58 D23:D31 D10:D21 D33:D38 D44:D48 D51:D54</xm:sqref>
        </x14:dataValidation>
        <x14:dataValidation type="list" allowBlank="1" showInputMessage="1" showErrorMessage="1" xr:uid="{00000000-0002-0000-0100-000008000000}">
          <x14:formula1>
            <xm:f>'Opciones Tratamiento'!$B$2:$B$5</xm:f>
          </x14:formula1>
          <xm:sqref>AF7 AF67 AF60:AF61 AF21 AF58 AF23:AF31 AF48:AF54 AF10:AF19 AF33:AF37 AF39:AF46</xm:sqref>
        </x14:dataValidation>
        <x14:dataValidation type="custom" allowBlank="1" showInputMessage="1" showErrorMessage="1" error="Recuerde que las acciones se generan bajo la medida de mitigar el riesgo" xr:uid="{00000000-0002-0000-0100-00000A000000}">
          <x14:formula1>
            <xm:f>IF(OR(AF7='Opciones Tratamiento'!$B$2,AF7='Opciones Tratamiento'!$B$3,AF7='Opciones Tratamiento'!$B$4),ISBLANK(AF7),ISTEXT(AF7))</xm:f>
          </x14:formula1>
          <xm:sqref>AG33:AG37 AG60:AG67 AG7:AG8 AI8 AK58 AG58:AI58 AG10:AG31 AG39:AG41 AG44:AG54 AK8</xm:sqref>
        </x14:dataValidation>
        <x14:dataValidation type="custom" allowBlank="1" showInputMessage="1" showErrorMessage="1" error="Recuerde que las acciones se generan bajo la medida de mitigar el riesgo" xr:uid="{00000000-0002-0000-0100-00000B000000}">
          <x14:formula1>
            <xm:f>IF(OR(AF7='Opciones Tratamiento'!$B$2,AF7='Opciones Tratamiento'!$B$3,AF7='Opciones Tratamiento'!$B$4),ISBLANK(AF7),ISTEXT(AF7))</xm:f>
          </x14:formula1>
          <xm:sqref>AH60:AH67 AH7:AH8 AH44:AH54 AH39:AH41 AH33:AH37 AH10:AH31</xm:sqref>
        </x14:dataValidation>
        <x14:dataValidation type="custom" allowBlank="1" showInputMessage="1" showErrorMessage="1" error="Recuerde que las acciones se generan bajo la medida de mitigar el riesgo" xr:uid="{00000000-0002-0000-0100-00000C000000}">
          <x14:formula1>
            <xm:f>IF(OR(AF7='Opciones Tratamiento'!$B$2,AF7='Opciones Tratamiento'!$B$3,AF7='Opciones Tratamiento'!$B$4),ISBLANK(AF7),ISTEXT(AF7))</xm:f>
          </x14:formula1>
          <xm:sqref>AI60:AI67 AI7 AI33:AI37 AI39:AI41 AI44:AI54 AI10:AI31</xm:sqref>
        </x14:dataValidation>
        <x14:dataValidation type="custom" allowBlank="1" showInputMessage="1" showErrorMessage="1" error="Recuerde que las acciones se generan bajo la medida de mitigar el riesgo" xr:uid="{00000000-0002-0000-0100-00000D000000}">
          <x14:formula1>
            <xm:f>IF(OR(AF7='Opciones Tratamiento'!$B$2,AF7='Opciones Tratamiento'!$B$3,AF7='Opciones Tratamiento'!$B$4),ISBLANK(AF7),ISTEXT(AF7))</xm:f>
          </x14:formula1>
          <xm:sqref>AJ60:AJ67 AJ7:AJ8 AJ33:AJ37 AJ58 AJ39:AJ41 AJ44:AJ54 AJ10:AJ31</xm:sqref>
        </x14:dataValidation>
        <x14:dataValidation type="custom" allowBlank="1" showInputMessage="1" showErrorMessage="1" error="Recuerde que las acciones se generan bajo la medida de mitigar el riesgo" xr:uid="{00000000-0002-0000-0100-00000E000000}">
          <x14:formula1>
            <xm:f>IF(OR(AF7='Opciones Tratamiento'!$B$2,AF7='Opciones Tratamiento'!$B$3,AF7='Opciones Tratamiento'!$B$4),ISBLANK(AF7),ISTEXT(AF7))</xm:f>
          </x14:formula1>
          <xm:sqref>AK60:AK67 AK7 AK10:AK31 AK33:AK57</xm:sqref>
        </x14:dataValidation>
        <x14:dataValidation type="list" allowBlank="1" showInputMessage="1" showErrorMessage="1" xr:uid="{00000000-0002-0000-0100-000009000000}">
          <x14:formula1>
            <xm:f>'Tabla Impacto'!$F$210:$F$221</xm:f>
          </x14:formula1>
          <xm:sqref>L58:L66 L39:L41 L7:L37 L44:L54</xm:sqref>
        </x14:dataValidation>
        <x14:dataValidation type="list" allowBlank="1" showInputMessage="1" showErrorMessage="1" xr:uid="{F19503FF-01AA-4AD0-A71D-9C039030D013}">
          <x14:formula1>
            <xm:f>'Opciones Tratamiento'!$B$13:$B$20</xm:f>
          </x14:formula1>
          <xm:sqref>H7:H66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topLeftCell="A13" zoomScale="50" zoomScaleNormal="50" workbookViewId="0">
      <selection activeCell="AF36" sqref="AF36:AG37"/>
    </sheetView>
  </sheetViews>
  <sheetFormatPr baseColWidth="10" defaultRowHeight="15" x14ac:dyDescent="0.25"/>
  <cols>
    <col min="2" max="39" width="5.7109375" customWidth="1"/>
    <col min="41" max="46" width="5.7109375" customWidth="1"/>
  </cols>
  <sheetData>
    <row r="1" spans="1:99" x14ac:dyDescent="0.25">
      <c r="A1" s="77"/>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row>
    <row r="2" spans="1:99" ht="18" customHeight="1" x14ac:dyDescent="0.25">
      <c r="A2" s="77"/>
      <c r="B2" s="397" t="s">
        <v>136</v>
      </c>
      <c r="C2" s="397"/>
      <c r="D2" s="397"/>
      <c r="E2" s="397"/>
      <c r="F2" s="397"/>
      <c r="G2" s="397"/>
      <c r="H2" s="397"/>
      <c r="I2" s="397"/>
      <c r="J2" s="364" t="s">
        <v>2</v>
      </c>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c r="CI2" s="77"/>
      <c r="CJ2" s="77"/>
      <c r="CK2" s="77"/>
      <c r="CL2" s="77"/>
      <c r="CM2" s="77"/>
      <c r="CN2" s="77"/>
      <c r="CO2" s="77"/>
      <c r="CP2" s="77"/>
      <c r="CQ2" s="77"/>
      <c r="CR2" s="77"/>
      <c r="CS2" s="77"/>
      <c r="CT2" s="77"/>
      <c r="CU2" s="77"/>
    </row>
    <row r="3" spans="1:99" ht="18.75" customHeight="1" x14ac:dyDescent="0.25">
      <c r="A3" s="77"/>
      <c r="B3" s="397"/>
      <c r="C3" s="397"/>
      <c r="D3" s="397"/>
      <c r="E3" s="397"/>
      <c r="F3" s="397"/>
      <c r="G3" s="397"/>
      <c r="H3" s="397"/>
      <c r="I3" s="397"/>
      <c r="J3" s="364"/>
      <c r="K3" s="364"/>
      <c r="L3" s="364"/>
      <c r="M3" s="364"/>
      <c r="N3" s="364"/>
      <c r="O3" s="364"/>
      <c r="P3" s="364"/>
      <c r="Q3" s="364"/>
      <c r="R3" s="364"/>
      <c r="S3" s="364"/>
      <c r="T3" s="364"/>
      <c r="U3" s="364"/>
      <c r="V3" s="364"/>
      <c r="W3" s="364"/>
      <c r="X3" s="364"/>
      <c r="Y3" s="364"/>
      <c r="Z3" s="364"/>
      <c r="AA3" s="364"/>
      <c r="AB3" s="364"/>
      <c r="AC3" s="364"/>
      <c r="AD3" s="364"/>
      <c r="AE3" s="364"/>
      <c r="AF3" s="364"/>
      <c r="AG3" s="364"/>
      <c r="AH3" s="364"/>
      <c r="AI3" s="364"/>
      <c r="AJ3" s="364"/>
      <c r="AK3" s="364"/>
      <c r="AL3" s="364"/>
      <c r="AM3" s="364"/>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row>
    <row r="4" spans="1:99" ht="15" customHeight="1" x14ac:dyDescent="0.25">
      <c r="A4" s="77"/>
      <c r="B4" s="397"/>
      <c r="C4" s="397"/>
      <c r="D4" s="397"/>
      <c r="E4" s="397"/>
      <c r="F4" s="397"/>
      <c r="G4" s="397"/>
      <c r="H4" s="397"/>
      <c r="I4" s="397"/>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row>
    <row r="5" spans="1:99" ht="15.75" thickBot="1" x14ac:dyDescent="0.3">
      <c r="A5" s="77"/>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row>
    <row r="6" spans="1:99" ht="15" customHeight="1" x14ac:dyDescent="0.25">
      <c r="A6" s="77"/>
      <c r="B6" s="310" t="s">
        <v>4</v>
      </c>
      <c r="C6" s="310"/>
      <c r="D6" s="311"/>
      <c r="E6" s="348" t="s">
        <v>97</v>
      </c>
      <c r="F6" s="349"/>
      <c r="G6" s="349"/>
      <c r="H6" s="349"/>
      <c r="I6" s="350"/>
      <c r="J6" s="360" t="str">
        <f>IF(AND('MAPA V5 2022'!$J$7="Muy Alta",'MAPA V5 2022'!$N$7="Leve"),CONCATENATE("R",'MAPA V5 2022'!$C$7),"")</f>
        <v/>
      </c>
      <c r="K6" s="361"/>
      <c r="L6" s="361" t="str">
        <f>IF(AND('MAPA V5 2022'!$J$12="Muy Alta",'MAPA V5 2022'!$N$12="Leve"),CONCATENATE("R",'MAPA V5 2022'!$C$12),"")</f>
        <v/>
      </c>
      <c r="M6" s="361"/>
      <c r="N6" s="361" t="str">
        <f>IF(AND('MAPA V5 2022'!$J$18="Muy Alta",'MAPA V5 2022'!$N$18="Leve"),CONCATENATE("R",'MAPA V5 2022'!$C$18),"")</f>
        <v/>
      </c>
      <c r="O6" s="363"/>
      <c r="P6" s="360" t="str">
        <f>IF(AND('MAPA V5 2022'!$J$7="Muy Alta",'MAPA V5 2022'!$N$7="Menor"),CONCATENATE("R",'MAPA V5 2022'!$C$7),"")</f>
        <v/>
      </c>
      <c r="Q6" s="361"/>
      <c r="R6" s="361" t="str">
        <f>IF(AND('MAPA V5 2022'!$J$12="Muy Alta",'MAPA V5 2022'!$N$12="Menor"),CONCATENATE("R",'MAPA V5 2022'!$C$12),"")</f>
        <v/>
      </c>
      <c r="S6" s="361"/>
      <c r="T6" s="361" t="str">
        <f>IF(AND('MAPA V5 2022'!$J$18="Muy Alta",'MAPA V5 2022'!$N$18="Menor"),CONCATENATE("R",'MAPA V5 2022'!$C$18),"")</f>
        <v/>
      </c>
      <c r="U6" s="363"/>
      <c r="V6" s="360" t="str">
        <f>IF(AND('MAPA V5 2022'!$J$7="Muy Alta",'MAPA V5 2022'!$N$7="Moderado"),CONCATENATE("R",'MAPA V5 2022'!$C$7),"")</f>
        <v/>
      </c>
      <c r="W6" s="361"/>
      <c r="X6" s="361" t="str">
        <f>IF(AND('MAPA V5 2022'!$J$12="Muy Alta",'MAPA V5 2022'!$N$12="Moderado"),CONCATENATE("R",'MAPA V5 2022'!$C$12),"")</f>
        <v/>
      </c>
      <c r="Y6" s="361"/>
      <c r="Z6" s="361" t="str">
        <f>IF(AND('MAPA V5 2022'!$J$18="Muy Alta",'MAPA V5 2022'!$N$18="Moderado"),CONCATENATE("R",'MAPA V5 2022'!$C$18),"")</f>
        <v/>
      </c>
      <c r="AA6" s="363"/>
      <c r="AB6" s="360" t="str">
        <f>IF(AND('MAPA V5 2022'!$J$7="Muy Alta",'MAPA V5 2022'!$N$7="Mayor"),CONCATENATE("R",'MAPA V5 2022'!$C$7),"")</f>
        <v/>
      </c>
      <c r="AC6" s="361"/>
      <c r="AD6" s="361" t="str">
        <f>IF(AND('MAPA V5 2022'!$J$12="Muy Alta",'MAPA V5 2022'!$N$12="Mayor"),CONCATENATE("R",'MAPA V5 2022'!$C$12),"")</f>
        <v/>
      </c>
      <c r="AE6" s="361"/>
      <c r="AF6" s="361" t="str">
        <f>IF(AND('MAPA V5 2022'!$J$18="Muy Alta",'MAPA V5 2022'!$N$18="Mayor"),CONCATENATE("R",'MAPA V5 2022'!$C$18),"")</f>
        <v/>
      </c>
      <c r="AG6" s="363"/>
      <c r="AH6" s="376" t="str">
        <f>IF(AND('MAPA V5 2022'!$J$7="Muy Alta",'MAPA V5 2022'!$N$7="Catastrófico"),CONCATENATE("R",'MAPA V5 2022'!$C$7),"")</f>
        <v/>
      </c>
      <c r="AI6" s="377"/>
      <c r="AJ6" s="377" t="str">
        <f>IF(AND('MAPA V5 2022'!$J$12="Muy Alta",'MAPA V5 2022'!$N$12="Catastrófico"),CONCATENATE("R",'MAPA V5 2022'!$C$12),"")</f>
        <v/>
      </c>
      <c r="AK6" s="377"/>
      <c r="AL6" s="377" t="str">
        <f>IF(AND('MAPA V5 2022'!$J$18="Muy Alta",'MAPA V5 2022'!$N$18="Catastrófico"),CONCATENATE("R",'MAPA V5 2022'!$C$18),"")</f>
        <v/>
      </c>
      <c r="AM6" s="378"/>
      <c r="AO6" s="312" t="s">
        <v>63</v>
      </c>
      <c r="AP6" s="313"/>
      <c r="AQ6" s="313"/>
      <c r="AR6" s="313"/>
      <c r="AS6" s="313"/>
      <c r="AT6" s="314"/>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row>
    <row r="7" spans="1:99" ht="15" customHeight="1" x14ac:dyDescent="0.25">
      <c r="A7" s="77"/>
      <c r="B7" s="310"/>
      <c r="C7" s="310"/>
      <c r="D7" s="311"/>
      <c r="E7" s="351"/>
      <c r="F7" s="352"/>
      <c r="G7" s="352"/>
      <c r="H7" s="352"/>
      <c r="I7" s="353"/>
      <c r="J7" s="362"/>
      <c r="K7" s="359"/>
      <c r="L7" s="359"/>
      <c r="M7" s="359"/>
      <c r="N7" s="359"/>
      <c r="O7" s="358"/>
      <c r="P7" s="362"/>
      <c r="Q7" s="359"/>
      <c r="R7" s="359"/>
      <c r="S7" s="359"/>
      <c r="T7" s="359"/>
      <c r="U7" s="358"/>
      <c r="V7" s="362"/>
      <c r="W7" s="359"/>
      <c r="X7" s="359"/>
      <c r="Y7" s="359"/>
      <c r="Z7" s="359"/>
      <c r="AA7" s="358"/>
      <c r="AB7" s="362"/>
      <c r="AC7" s="359"/>
      <c r="AD7" s="359"/>
      <c r="AE7" s="359"/>
      <c r="AF7" s="359"/>
      <c r="AG7" s="358"/>
      <c r="AH7" s="370"/>
      <c r="AI7" s="371"/>
      <c r="AJ7" s="371"/>
      <c r="AK7" s="371"/>
      <c r="AL7" s="371"/>
      <c r="AM7" s="372"/>
      <c r="AN7" s="77"/>
      <c r="AO7" s="315"/>
      <c r="AP7" s="316"/>
      <c r="AQ7" s="316"/>
      <c r="AR7" s="316"/>
      <c r="AS7" s="316"/>
      <c r="AT7" s="31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row>
    <row r="8" spans="1:99" ht="15" customHeight="1" x14ac:dyDescent="0.25">
      <c r="A8" s="77"/>
      <c r="B8" s="310"/>
      <c r="C8" s="310"/>
      <c r="D8" s="311"/>
      <c r="E8" s="351"/>
      <c r="F8" s="352"/>
      <c r="G8" s="352"/>
      <c r="H8" s="352"/>
      <c r="I8" s="353"/>
      <c r="J8" s="362" t="str">
        <f>IF(AND('MAPA V5 2022'!$J$25="Muy Alta",'MAPA V5 2022'!$N$25="Leve"),CONCATENATE("R",'MAPA V5 2022'!$C$25),"")</f>
        <v/>
      </c>
      <c r="K8" s="359"/>
      <c r="L8" s="357" t="str">
        <f>IF(AND('MAPA V5 2022'!$J$29="Muy Alta",'MAPA V5 2022'!$N$29="Leve"),CONCATENATE("R",'MAPA V5 2022'!$C$29),"")</f>
        <v/>
      </c>
      <c r="M8" s="357"/>
      <c r="N8" s="357" t="e">
        <f>IF(AND('MAPA V5 2022'!#REF!="Muy Alta",'MAPA V5 2022'!#REF!="Leve"),CONCATENATE("R",'MAPA V5 2022'!#REF!),"")</f>
        <v>#REF!</v>
      </c>
      <c r="O8" s="358"/>
      <c r="P8" s="362" t="str">
        <f>IF(AND('MAPA V5 2022'!$J$25="Muy Alta",'MAPA V5 2022'!$N$25="Menor"),CONCATENATE("R",'MAPA V5 2022'!$C$25),"")</f>
        <v/>
      </c>
      <c r="Q8" s="359"/>
      <c r="R8" s="357" t="str">
        <f>IF(AND('MAPA V5 2022'!$J$29="Muy Alta",'MAPA V5 2022'!$N$29="Menor"),CONCATENATE("R",'MAPA V5 2022'!$C$29),"")</f>
        <v/>
      </c>
      <c r="S8" s="357"/>
      <c r="T8" s="357" t="e">
        <f>IF(AND('MAPA V5 2022'!#REF!="Muy Alta",'MAPA V5 2022'!#REF!="Menor"),CONCATENATE("R",'MAPA V5 2022'!#REF!),"")</f>
        <v>#REF!</v>
      </c>
      <c r="U8" s="358"/>
      <c r="V8" s="362" t="str">
        <f>IF(AND('MAPA V5 2022'!$J$25="Muy Alta",'MAPA V5 2022'!$N$25="Moderado"),CONCATENATE("R",'MAPA V5 2022'!$C$25),"")</f>
        <v/>
      </c>
      <c r="W8" s="359"/>
      <c r="X8" s="357" t="str">
        <f>IF(AND('MAPA V5 2022'!$J$29="Muy Alta",'MAPA V5 2022'!$N$29="Moderado"),CONCATENATE("R",'MAPA V5 2022'!$C$29),"")</f>
        <v/>
      </c>
      <c r="Y8" s="357"/>
      <c r="Z8" s="357" t="e">
        <f>IF(AND('MAPA V5 2022'!#REF!="Muy Alta",'MAPA V5 2022'!#REF!="Moderado"),CONCATENATE("R",'MAPA V5 2022'!#REF!),"")</f>
        <v>#REF!</v>
      </c>
      <c r="AA8" s="358"/>
      <c r="AB8" s="362" t="str">
        <f>IF(AND('MAPA V5 2022'!$J$25="Muy Alta",'MAPA V5 2022'!$N$25="Mayor"),CONCATENATE("R",'MAPA V5 2022'!$C$25),"")</f>
        <v/>
      </c>
      <c r="AC8" s="359"/>
      <c r="AD8" s="357" t="str">
        <f>IF(AND('MAPA V5 2022'!$J$29="Muy Alta",'MAPA V5 2022'!$N$29="Mayor"),CONCATENATE("R",'MAPA V5 2022'!$C$29),"")</f>
        <v/>
      </c>
      <c r="AE8" s="357"/>
      <c r="AF8" s="357" t="e">
        <f>IF(AND('MAPA V5 2022'!#REF!="Muy Alta",'MAPA V5 2022'!#REF!="Mayor"),CONCATENATE("R",'MAPA V5 2022'!#REF!),"")</f>
        <v>#REF!</v>
      </c>
      <c r="AG8" s="358"/>
      <c r="AH8" s="370" t="str">
        <f>IF(AND('MAPA V5 2022'!$J$25="Muy Alta",'MAPA V5 2022'!$N$25="Catastrófico"),CONCATENATE("R",'MAPA V5 2022'!$C$25),"")</f>
        <v/>
      </c>
      <c r="AI8" s="371"/>
      <c r="AJ8" s="371" t="str">
        <f>IF(AND('MAPA V5 2022'!$J$29="Muy Alta",'MAPA V5 2022'!$N$29="Catastrófico"),CONCATENATE("R",'MAPA V5 2022'!$C$29),"")</f>
        <v>R25</v>
      </c>
      <c r="AK8" s="371"/>
      <c r="AL8" s="371" t="e">
        <f>IF(AND('MAPA V5 2022'!#REF!="Muy Alta",'MAPA V5 2022'!#REF!="Catastrófico"),CONCATENATE("R",'MAPA V5 2022'!#REF!),"")</f>
        <v>#REF!</v>
      </c>
      <c r="AM8" s="372"/>
      <c r="AN8" s="77"/>
      <c r="AO8" s="315"/>
      <c r="AP8" s="316"/>
      <c r="AQ8" s="316"/>
      <c r="AR8" s="316"/>
      <c r="AS8" s="316"/>
      <c r="AT8" s="31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row>
    <row r="9" spans="1:99" ht="15" customHeight="1" x14ac:dyDescent="0.25">
      <c r="A9" s="77"/>
      <c r="B9" s="310"/>
      <c r="C9" s="310"/>
      <c r="D9" s="311"/>
      <c r="E9" s="351"/>
      <c r="F9" s="352"/>
      <c r="G9" s="352"/>
      <c r="H9" s="352"/>
      <c r="I9" s="353"/>
      <c r="J9" s="362"/>
      <c r="K9" s="359"/>
      <c r="L9" s="357"/>
      <c r="M9" s="357"/>
      <c r="N9" s="357"/>
      <c r="O9" s="358"/>
      <c r="P9" s="362"/>
      <c r="Q9" s="359"/>
      <c r="R9" s="357"/>
      <c r="S9" s="357"/>
      <c r="T9" s="357"/>
      <c r="U9" s="358"/>
      <c r="V9" s="362"/>
      <c r="W9" s="359"/>
      <c r="X9" s="357"/>
      <c r="Y9" s="357"/>
      <c r="Z9" s="357"/>
      <c r="AA9" s="358"/>
      <c r="AB9" s="362"/>
      <c r="AC9" s="359"/>
      <c r="AD9" s="357"/>
      <c r="AE9" s="357"/>
      <c r="AF9" s="357"/>
      <c r="AG9" s="358"/>
      <c r="AH9" s="370"/>
      <c r="AI9" s="371"/>
      <c r="AJ9" s="371"/>
      <c r="AK9" s="371"/>
      <c r="AL9" s="371"/>
      <c r="AM9" s="372"/>
      <c r="AN9" s="77"/>
      <c r="AO9" s="315"/>
      <c r="AP9" s="316"/>
      <c r="AQ9" s="316"/>
      <c r="AR9" s="316"/>
      <c r="AS9" s="316"/>
      <c r="AT9" s="31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row>
    <row r="10" spans="1:99" ht="15" customHeight="1" x14ac:dyDescent="0.25">
      <c r="A10" s="77"/>
      <c r="B10" s="310"/>
      <c r="C10" s="310"/>
      <c r="D10" s="311"/>
      <c r="E10" s="351"/>
      <c r="F10" s="352"/>
      <c r="G10" s="352"/>
      <c r="H10" s="352"/>
      <c r="I10" s="353"/>
      <c r="J10" s="362" t="e">
        <f>IF(AND('MAPA V5 2022'!#REF!="Muy Alta",'MAPA V5 2022'!#REF!="Leve"),CONCATENATE("R",'MAPA V5 2022'!#REF!),"")</f>
        <v>#REF!</v>
      </c>
      <c r="K10" s="359"/>
      <c r="L10" s="357" t="e">
        <f>IF(AND('MAPA V5 2022'!#REF!="Muy Alta",'MAPA V5 2022'!#REF!="Leve"),CONCATENATE("R",'MAPA V5 2022'!#REF!),"")</f>
        <v>#REF!</v>
      </c>
      <c r="M10" s="357"/>
      <c r="N10" s="357" t="str">
        <f>IF(AND('MAPA V5 2022'!$J$44="Muy Alta",'MAPA V5 2022'!$N$44="Leve"),CONCATENATE("R",'MAPA V5 2022'!$C$44),"")</f>
        <v/>
      </c>
      <c r="O10" s="358"/>
      <c r="P10" s="362" t="e">
        <f>IF(AND('MAPA V5 2022'!#REF!="Muy Alta",'MAPA V5 2022'!#REF!="Menor"),CONCATENATE("R",'MAPA V5 2022'!#REF!),"")</f>
        <v>#REF!</v>
      </c>
      <c r="Q10" s="359"/>
      <c r="R10" s="357" t="e">
        <f>IF(AND('MAPA V5 2022'!#REF!="Muy Alta",'MAPA V5 2022'!#REF!="Menor"),CONCATENATE("R",'MAPA V5 2022'!#REF!),"")</f>
        <v>#REF!</v>
      </c>
      <c r="S10" s="357"/>
      <c r="T10" s="357" t="str">
        <f>IF(AND('MAPA V5 2022'!$J$44="Muy Alta",'MAPA V5 2022'!$N$44="Menor"),CONCATENATE("R",'MAPA V5 2022'!$C$44),"")</f>
        <v/>
      </c>
      <c r="U10" s="358"/>
      <c r="V10" s="362" t="e">
        <f>IF(AND('MAPA V5 2022'!#REF!="Muy Alta",'MAPA V5 2022'!#REF!="Moderado"),CONCATENATE("R",'MAPA V5 2022'!#REF!),"")</f>
        <v>#REF!</v>
      </c>
      <c r="W10" s="359"/>
      <c r="X10" s="357" t="e">
        <f>IF(AND('MAPA V5 2022'!#REF!="Muy Alta",'MAPA V5 2022'!#REF!="Moderado"),CONCATENATE("R",'MAPA V5 2022'!#REF!),"")</f>
        <v>#REF!</v>
      </c>
      <c r="Y10" s="357"/>
      <c r="Z10" s="357" t="str">
        <f>IF(AND('MAPA V5 2022'!$J$44="Muy Alta",'MAPA V5 2022'!$N$44="Moderado"),CONCATENATE("R",'MAPA V5 2022'!$C$44),"")</f>
        <v/>
      </c>
      <c r="AA10" s="358"/>
      <c r="AB10" s="362" t="e">
        <f>IF(AND('MAPA V5 2022'!#REF!="Muy Alta",'MAPA V5 2022'!#REF!="Mayor"),CONCATENATE("R",'MAPA V5 2022'!#REF!),"")</f>
        <v>#REF!</v>
      </c>
      <c r="AC10" s="359"/>
      <c r="AD10" s="357" t="e">
        <f>IF(AND('MAPA V5 2022'!#REF!="Muy Alta",'MAPA V5 2022'!#REF!="Mayor"),CONCATENATE("R",'MAPA V5 2022'!#REF!),"")</f>
        <v>#REF!</v>
      </c>
      <c r="AE10" s="357"/>
      <c r="AF10" s="357" t="str">
        <f>IF(AND('MAPA V5 2022'!$J$44="Muy Alta",'MAPA V5 2022'!$N$44="Mayor"),CONCATENATE("R",'MAPA V5 2022'!$C$44),"")</f>
        <v/>
      </c>
      <c r="AG10" s="358"/>
      <c r="AH10" s="370" t="e">
        <f>IF(AND('MAPA V5 2022'!#REF!="Muy Alta",'MAPA V5 2022'!#REF!="Catastrófico"),CONCATENATE("R",'MAPA V5 2022'!#REF!),"")</f>
        <v>#REF!</v>
      </c>
      <c r="AI10" s="371"/>
      <c r="AJ10" s="371" t="e">
        <f>IF(AND('MAPA V5 2022'!#REF!="Muy Alta",'MAPA V5 2022'!#REF!="Catastrófico"),CONCATENATE("R",'MAPA V5 2022'!#REF!),"")</f>
        <v>#REF!</v>
      </c>
      <c r="AK10" s="371"/>
      <c r="AL10" s="371" t="str">
        <f>IF(AND('MAPA V5 2022'!$J$44="Muy Alta",'MAPA V5 2022'!$N$44="Catastrófico"),CONCATENATE("R",'MAPA V5 2022'!$C$44),"")</f>
        <v/>
      </c>
      <c r="AM10" s="372"/>
      <c r="AN10" s="77"/>
      <c r="AO10" s="315"/>
      <c r="AP10" s="316"/>
      <c r="AQ10" s="316"/>
      <c r="AR10" s="316"/>
      <c r="AS10" s="316"/>
      <c r="AT10" s="31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row>
    <row r="11" spans="1:99" ht="15" customHeight="1" x14ac:dyDescent="0.25">
      <c r="A11" s="77"/>
      <c r="B11" s="310"/>
      <c r="C11" s="310"/>
      <c r="D11" s="311"/>
      <c r="E11" s="351"/>
      <c r="F11" s="352"/>
      <c r="G11" s="352"/>
      <c r="H11" s="352"/>
      <c r="I11" s="353"/>
      <c r="J11" s="362"/>
      <c r="K11" s="359"/>
      <c r="L11" s="357"/>
      <c r="M11" s="357"/>
      <c r="N11" s="357"/>
      <c r="O11" s="358"/>
      <c r="P11" s="362"/>
      <c r="Q11" s="359"/>
      <c r="R11" s="357"/>
      <c r="S11" s="357"/>
      <c r="T11" s="357"/>
      <c r="U11" s="358"/>
      <c r="V11" s="362"/>
      <c r="W11" s="359"/>
      <c r="X11" s="357"/>
      <c r="Y11" s="357"/>
      <c r="Z11" s="357"/>
      <c r="AA11" s="358"/>
      <c r="AB11" s="362"/>
      <c r="AC11" s="359"/>
      <c r="AD11" s="357"/>
      <c r="AE11" s="357"/>
      <c r="AF11" s="357"/>
      <c r="AG11" s="358"/>
      <c r="AH11" s="370"/>
      <c r="AI11" s="371"/>
      <c r="AJ11" s="371"/>
      <c r="AK11" s="371"/>
      <c r="AL11" s="371"/>
      <c r="AM11" s="372"/>
      <c r="AN11" s="77"/>
      <c r="AO11" s="315"/>
      <c r="AP11" s="316"/>
      <c r="AQ11" s="316"/>
      <c r="AR11" s="316"/>
      <c r="AS11" s="316"/>
      <c r="AT11" s="31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row>
    <row r="12" spans="1:99" ht="15" customHeight="1" x14ac:dyDescent="0.25">
      <c r="A12" s="77"/>
      <c r="B12" s="310"/>
      <c r="C12" s="310"/>
      <c r="D12" s="311"/>
      <c r="E12" s="351"/>
      <c r="F12" s="352"/>
      <c r="G12" s="352"/>
      <c r="H12" s="352"/>
      <c r="I12" s="353"/>
      <c r="J12" s="362" t="e">
        <f>IF(AND('MAPA V5 2022'!#REF!="Muy Alta",'MAPA V5 2022'!#REF!="Leve"),CONCATENATE("R",'MAPA V5 2022'!#REF!),"")</f>
        <v>#REF!</v>
      </c>
      <c r="K12" s="359"/>
      <c r="L12" s="357" t="e">
        <f>IF(AND('MAPA V5 2022'!#REF!="Muy Alta",'MAPA V5 2022'!#REF!="Leve"),CONCATENATE("R",'MAPA V5 2022'!#REF!),"")</f>
        <v>#REF!</v>
      </c>
      <c r="M12" s="357"/>
      <c r="N12" s="357" t="str">
        <f>IF(AND('MAPA V5 2022'!$J$72="Muy Alta",'MAPA V5 2022'!$N$72="Leve"),CONCATENATE("R",'MAPA V5 2022'!$C$72),"")</f>
        <v/>
      </c>
      <c r="O12" s="358"/>
      <c r="P12" s="362" t="e">
        <f>IF(AND('MAPA V5 2022'!#REF!="Muy Alta",'MAPA V5 2022'!#REF!="Menor"),CONCATENATE("R",'MAPA V5 2022'!#REF!),"")</f>
        <v>#REF!</v>
      </c>
      <c r="Q12" s="359"/>
      <c r="R12" s="357" t="e">
        <f>IF(AND('MAPA V5 2022'!#REF!="Muy Alta",'MAPA V5 2022'!#REF!="Menor"),CONCATENATE("R",'MAPA V5 2022'!#REF!),"")</f>
        <v>#REF!</v>
      </c>
      <c r="S12" s="357"/>
      <c r="T12" s="357" t="str">
        <f>IF(AND('MAPA V5 2022'!$J$72="Muy Alta",'MAPA V5 2022'!$N$72="Menor"),CONCATENATE("R",'MAPA V5 2022'!$C$72),"")</f>
        <v/>
      </c>
      <c r="U12" s="358"/>
      <c r="V12" s="362" t="e">
        <f>IF(AND('MAPA V5 2022'!#REF!="Muy Alta",'MAPA V5 2022'!#REF!="Moderado"),CONCATENATE("R",'MAPA V5 2022'!#REF!),"")</f>
        <v>#REF!</v>
      </c>
      <c r="W12" s="359"/>
      <c r="X12" s="357" t="e">
        <f>IF(AND('MAPA V5 2022'!#REF!="Muy Alta",'MAPA V5 2022'!#REF!="Moderado"),CONCATENATE("R",'MAPA V5 2022'!#REF!),"")</f>
        <v>#REF!</v>
      </c>
      <c r="Y12" s="357"/>
      <c r="Z12" s="357" t="str">
        <f>IF(AND('MAPA V5 2022'!$J$72="Muy Alta",'MAPA V5 2022'!$N$72="Moderado"),CONCATENATE("R",'MAPA V5 2022'!$C$72),"")</f>
        <v/>
      </c>
      <c r="AA12" s="358"/>
      <c r="AB12" s="362" t="e">
        <f>IF(AND('MAPA V5 2022'!#REF!="Muy Alta",'MAPA V5 2022'!#REF!="Mayor"),CONCATENATE("R",'MAPA V5 2022'!#REF!),"")</f>
        <v>#REF!</v>
      </c>
      <c r="AC12" s="359"/>
      <c r="AD12" s="357" t="e">
        <f>IF(AND('MAPA V5 2022'!#REF!="Muy Alta",'MAPA V5 2022'!#REF!="Mayor"),CONCATENATE("R",'MAPA V5 2022'!#REF!),"")</f>
        <v>#REF!</v>
      </c>
      <c r="AE12" s="357"/>
      <c r="AF12" s="357" t="str">
        <f>IF(AND('MAPA V5 2022'!$J$72="Muy Alta",'MAPA V5 2022'!$N$72="Mayor"),CONCATENATE("R",'MAPA V5 2022'!$C$72),"")</f>
        <v/>
      </c>
      <c r="AG12" s="358"/>
      <c r="AH12" s="370" t="e">
        <f>IF(AND('MAPA V5 2022'!#REF!="Muy Alta",'MAPA V5 2022'!#REF!="Catastrófico"),CONCATENATE("R",'MAPA V5 2022'!#REF!),"")</f>
        <v>#REF!</v>
      </c>
      <c r="AI12" s="371"/>
      <c r="AJ12" s="371" t="e">
        <f>IF(AND('MAPA V5 2022'!#REF!="Muy Alta",'MAPA V5 2022'!#REF!="Catastrófico"),CONCATENATE("R",'MAPA V5 2022'!#REF!),"")</f>
        <v>#REF!</v>
      </c>
      <c r="AK12" s="371"/>
      <c r="AL12" s="371" t="str">
        <f>IF(AND('MAPA V5 2022'!$J$72="Muy Alta",'MAPA V5 2022'!$N$72="Catastrófico"),CONCATENATE("R",'MAPA V5 2022'!$C$72),"")</f>
        <v/>
      </c>
      <c r="AM12" s="372"/>
      <c r="AN12" s="77"/>
      <c r="AO12" s="315"/>
      <c r="AP12" s="316"/>
      <c r="AQ12" s="316"/>
      <c r="AR12" s="316"/>
      <c r="AS12" s="316"/>
      <c r="AT12" s="31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row>
    <row r="13" spans="1:99" ht="15.75" customHeight="1" thickBot="1" x14ac:dyDescent="0.3">
      <c r="A13" s="77"/>
      <c r="B13" s="310"/>
      <c r="C13" s="310"/>
      <c r="D13" s="311"/>
      <c r="E13" s="354"/>
      <c r="F13" s="355"/>
      <c r="G13" s="355"/>
      <c r="H13" s="355"/>
      <c r="I13" s="356"/>
      <c r="J13" s="362"/>
      <c r="K13" s="359"/>
      <c r="L13" s="359"/>
      <c r="M13" s="359"/>
      <c r="N13" s="359"/>
      <c r="O13" s="358"/>
      <c r="P13" s="362"/>
      <c r="Q13" s="359"/>
      <c r="R13" s="359"/>
      <c r="S13" s="359"/>
      <c r="T13" s="359"/>
      <c r="U13" s="358"/>
      <c r="V13" s="362"/>
      <c r="W13" s="359"/>
      <c r="X13" s="359"/>
      <c r="Y13" s="359"/>
      <c r="Z13" s="359"/>
      <c r="AA13" s="358"/>
      <c r="AB13" s="362"/>
      <c r="AC13" s="359"/>
      <c r="AD13" s="359"/>
      <c r="AE13" s="359"/>
      <c r="AF13" s="359"/>
      <c r="AG13" s="358"/>
      <c r="AH13" s="373"/>
      <c r="AI13" s="374"/>
      <c r="AJ13" s="374"/>
      <c r="AK13" s="374"/>
      <c r="AL13" s="374"/>
      <c r="AM13" s="375"/>
      <c r="AN13" s="77"/>
      <c r="AO13" s="318"/>
      <c r="AP13" s="319"/>
      <c r="AQ13" s="319"/>
      <c r="AR13" s="319"/>
      <c r="AS13" s="319"/>
      <c r="AT13" s="320"/>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row>
    <row r="14" spans="1:99" ht="15" customHeight="1" x14ac:dyDescent="0.25">
      <c r="A14" s="77"/>
      <c r="B14" s="310"/>
      <c r="C14" s="310"/>
      <c r="D14" s="311"/>
      <c r="E14" s="348" t="s">
        <v>96</v>
      </c>
      <c r="F14" s="349"/>
      <c r="G14" s="349"/>
      <c r="H14" s="349"/>
      <c r="I14" s="349"/>
      <c r="J14" s="385" t="str">
        <f>IF(AND('MAPA V5 2022'!$J$7="Alta",'MAPA V5 2022'!$N$7="Leve"),CONCATENATE("R",'MAPA V5 2022'!$C$7),"")</f>
        <v/>
      </c>
      <c r="K14" s="386"/>
      <c r="L14" s="386" t="str">
        <f>IF(AND('MAPA V5 2022'!$J$12="Alta",'MAPA V5 2022'!$N$12="Leve"),CONCATENATE("R",'MAPA V5 2022'!$C$12),"")</f>
        <v/>
      </c>
      <c r="M14" s="386"/>
      <c r="N14" s="386" t="str">
        <f>IF(AND('MAPA V5 2022'!$J$18="Alta",'MAPA V5 2022'!$N$18="Leve"),CONCATENATE("R",'MAPA V5 2022'!$C$18),"")</f>
        <v/>
      </c>
      <c r="O14" s="387"/>
      <c r="P14" s="385" t="str">
        <f>IF(AND('MAPA V5 2022'!$J$7="Alta",'MAPA V5 2022'!$N$7="Menor"),CONCATENATE("R",'MAPA V5 2022'!$C$7),"")</f>
        <v/>
      </c>
      <c r="Q14" s="386"/>
      <c r="R14" s="386" t="str">
        <f>IF(AND('MAPA V5 2022'!$J$12="Alta",'MAPA V5 2022'!$N$12="Menor"),CONCATENATE("R",'MAPA V5 2022'!$C$12),"")</f>
        <v/>
      </c>
      <c r="S14" s="386"/>
      <c r="T14" s="386" t="str">
        <f>IF(AND('MAPA V5 2022'!$J$18="Alta",'MAPA V5 2022'!$N$18="Menor"),CONCATENATE("R",'MAPA V5 2022'!$C$18),"")</f>
        <v/>
      </c>
      <c r="U14" s="387"/>
      <c r="V14" s="360" t="str">
        <f>IF(AND('MAPA V5 2022'!$J$7="Alta",'MAPA V5 2022'!$N$7="Moderado"),CONCATENATE("R",'MAPA V5 2022'!$C$7),"")</f>
        <v/>
      </c>
      <c r="W14" s="361"/>
      <c r="X14" s="361" t="str">
        <f>IF(AND('MAPA V5 2022'!$J$12="Alta",'MAPA V5 2022'!$N$12="Moderado"),CONCATENATE("R",'MAPA V5 2022'!$C$12),"")</f>
        <v/>
      </c>
      <c r="Y14" s="361"/>
      <c r="Z14" s="361" t="str">
        <f>IF(AND('MAPA V5 2022'!$J$18="Alta",'MAPA V5 2022'!$N$18="Moderado"),CONCATENATE("R",'MAPA V5 2022'!$C$18),"")</f>
        <v/>
      </c>
      <c r="AA14" s="363"/>
      <c r="AB14" s="360" t="str">
        <f>IF(AND('MAPA V5 2022'!$J$7="Alta",'MAPA V5 2022'!$N$7="Mayor"),CONCATENATE("R",'MAPA V5 2022'!$C$7),"")</f>
        <v/>
      </c>
      <c r="AC14" s="361"/>
      <c r="AD14" s="361" t="str">
        <f>IF(AND('MAPA V5 2022'!$J$12="Alta",'MAPA V5 2022'!$N$12="Mayor"),CONCATENATE("R",'MAPA V5 2022'!$C$12),"")</f>
        <v>R7</v>
      </c>
      <c r="AE14" s="361"/>
      <c r="AF14" s="361" t="str">
        <f>IF(AND('MAPA V5 2022'!$J$18="Alta",'MAPA V5 2022'!$N$18="Mayor"),CONCATENATE("R",'MAPA V5 2022'!$C$18),"")</f>
        <v/>
      </c>
      <c r="AG14" s="363"/>
      <c r="AH14" s="376" t="str">
        <f>IF(AND('MAPA V5 2022'!$J$7="Alta",'MAPA V5 2022'!$N$7="Catastrófico"),CONCATENATE("R",'MAPA V5 2022'!$C$7),"")</f>
        <v/>
      </c>
      <c r="AI14" s="377"/>
      <c r="AJ14" s="377" t="str">
        <f>IF(AND('MAPA V5 2022'!$J$12="Alta",'MAPA V5 2022'!$N$12="Catastrófico"),CONCATENATE("R",'MAPA V5 2022'!$C$12),"")</f>
        <v/>
      </c>
      <c r="AK14" s="377"/>
      <c r="AL14" s="377" t="str">
        <f>IF(AND('MAPA V5 2022'!$J$18="Alta",'MAPA V5 2022'!$N$18="Catastrófico"),CONCATENATE("R",'MAPA V5 2022'!$C$18),"")</f>
        <v/>
      </c>
      <c r="AM14" s="378"/>
      <c r="AN14" s="77"/>
      <c r="AO14" s="321" t="s">
        <v>64</v>
      </c>
      <c r="AP14" s="322"/>
      <c r="AQ14" s="322"/>
      <c r="AR14" s="322"/>
      <c r="AS14" s="322"/>
      <c r="AT14" s="323"/>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row>
    <row r="15" spans="1:99" ht="15" customHeight="1" x14ac:dyDescent="0.25">
      <c r="A15" s="77"/>
      <c r="B15" s="310"/>
      <c r="C15" s="310"/>
      <c r="D15" s="311"/>
      <c r="E15" s="351"/>
      <c r="F15" s="352"/>
      <c r="G15" s="352"/>
      <c r="H15" s="352"/>
      <c r="I15" s="365"/>
      <c r="J15" s="379"/>
      <c r="K15" s="380"/>
      <c r="L15" s="380"/>
      <c r="M15" s="380"/>
      <c r="N15" s="380"/>
      <c r="O15" s="381"/>
      <c r="P15" s="379"/>
      <c r="Q15" s="380"/>
      <c r="R15" s="380"/>
      <c r="S15" s="380"/>
      <c r="T15" s="380"/>
      <c r="U15" s="381"/>
      <c r="V15" s="362"/>
      <c r="W15" s="359"/>
      <c r="X15" s="359"/>
      <c r="Y15" s="359"/>
      <c r="Z15" s="359"/>
      <c r="AA15" s="358"/>
      <c r="AB15" s="362"/>
      <c r="AC15" s="359"/>
      <c r="AD15" s="359"/>
      <c r="AE15" s="359"/>
      <c r="AF15" s="359"/>
      <c r="AG15" s="358"/>
      <c r="AH15" s="370"/>
      <c r="AI15" s="371"/>
      <c r="AJ15" s="371"/>
      <c r="AK15" s="371"/>
      <c r="AL15" s="371"/>
      <c r="AM15" s="372"/>
      <c r="AN15" s="77"/>
      <c r="AO15" s="324"/>
      <c r="AP15" s="325"/>
      <c r="AQ15" s="325"/>
      <c r="AR15" s="325"/>
      <c r="AS15" s="325"/>
      <c r="AT15" s="326"/>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row>
    <row r="16" spans="1:99" ht="15" customHeight="1" x14ac:dyDescent="0.25">
      <c r="A16" s="77"/>
      <c r="B16" s="310"/>
      <c r="C16" s="310"/>
      <c r="D16" s="311"/>
      <c r="E16" s="351"/>
      <c r="F16" s="352"/>
      <c r="G16" s="352"/>
      <c r="H16" s="352"/>
      <c r="I16" s="365"/>
      <c r="J16" s="379" t="str">
        <f>IF(AND('MAPA V5 2022'!$J$25="Alta",'MAPA V5 2022'!$N$25="Leve"),CONCATENATE("R",'MAPA V5 2022'!$C$25),"")</f>
        <v/>
      </c>
      <c r="K16" s="380"/>
      <c r="L16" s="380" t="str">
        <f>IF(AND('MAPA V5 2022'!$J$29="Alta",'MAPA V5 2022'!$N$29="Leve"),CONCATENATE("R",'MAPA V5 2022'!$C$29),"")</f>
        <v/>
      </c>
      <c r="M16" s="380"/>
      <c r="N16" s="380" t="e">
        <f>IF(AND('MAPA V5 2022'!#REF!="Alta",'MAPA V5 2022'!#REF!="Leve"),CONCATENATE("R",'MAPA V5 2022'!#REF!),"")</f>
        <v>#REF!</v>
      </c>
      <c r="O16" s="381"/>
      <c r="P16" s="379" t="str">
        <f>IF(AND('MAPA V5 2022'!$J$25="Alta",'MAPA V5 2022'!$N$25="Menor"),CONCATENATE("R",'MAPA V5 2022'!$C$25),"")</f>
        <v/>
      </c>
      <c r="Q16" s="380"/>
      <c r="R16" s="380" t="str">
        <f>IF(AND('MAPA V5 2022'!$J$29="Alta",'MAPA V5 2022'!$N$29="Menor"),CONCATENATE("R",'MAPA V5 2022'!$C$29),"")</f>
        <v/>
      </c>
      <c r="S16" s="380"/>
      <c r="T16" s="380" t="e">
        <f>IF(AND('MAPA V5 2022'!#REF!="Alta",'MAPA V5 2022'!#REF!="Menor"),CONCATENATE("R",'MAPA V5 2022'!#REF!),"")</f>
        <v>#REF!</v>
      </c>
      <c r="U16" s="381"/>
      <c r="V16" s="362" t="str">
        <f>IF(AND('MAPA V5 2022'!$J$25="Alta",'MAPA V5 2022'!$N$25="Moderado"),CONCATENATE("R",'MAPA V5 2022'!$C$25),"")</f>
        <v/>
      </c>
      <c r="W16" s="359"/>
      <c r="X16" s="357" t="str">
        <f>IF(AND('MAPA V5 2022'!$J$29="Alta",'MAPA V5 2022'!$N$29="Moderado"),CONCATENATE("R",'MAPA V5 2022'!$C$29),"")</f>
        <v/>
      </c>
      <c r="Y16" s="357"/>
      <c r="Z16" s="357" t="e">
        <f>IF(AND('MAPA V5 2022'!#REF!="Alta",'MAPA V5 2022'!#REF!="Moderado"),CONCATENATE("R",'MAPA V5 2022'!#REF!),"")</f>
        <v>#REF!</v>
      </c>
      <c r="AA16" s="358"/>
      <c r="AB16" s="362" t="str">
        <f>IF(AND('MAPA V5 2022'!$J$25="Alta",'MAPA V5 2022'!$N$25="Mayor"),CONCATENATE("R",'MAPA V5 2022'!$C$25),"")</f>
        <v>R19</v>
      </c>
      <c r="AC16" s="359"/>
      <c r="AD16" s="357" t="str">
        <f>IF(AND('MAPA V5 2022'!$J$29="Alta",'MAPA V5 2022'!$N$29="Mayor"),CONCATENATE("R",'MAPA V5 2022'!$C$29),"")</f>
        <v/>
      </c>
      <c r="AE16" s="357"/>
      <c r="AF16" s="357" t="e">
        <f>IF(AND('MAPA V5 2022'!#REF!="Alta",'MAPA V5 2022'!#REF!="Mayor"),CONCATENATE("R",'MAPA V5 2022'!#REF!),"")</f>
        <v>#REF!</v>
      </c>
      <c r="AG16" s="358"/>
      <c r="AH16" s="370" t="str">
        <f>IF(AND('MAPA V5 2022'!$J$25="Alta",'MAPA V5 2022'!$N$25="Catastrófico"),CONCATENATE("R",'MAPA V5 2022'!$C$25),"")</f>
        <v/>
      </c>
      <c r="AI16" s="371"/>
      <c r="AJ16" s="371" t="str">
        <f>IF(AND('MAPA V5 2022'!$J$29="Alta",'MAPA V5 2022'!$N$29="Catastrófico"),CONCATENATE("R",'MAPA V5 2022'!$C$29),"")</f>
        <v/>
      </c>
      <c r="AK16" s="371"/>
      <c r="AL16" s="371" t="e">
        <f>IF(AND('MAPA V5 2022'!#REF!="Alta",'MAPA V5 2022'!#REF!="Catastrófico"),CONCATENATE("R",'MAPA V5 2022'!#REF!),"")</f>
        <v>#REF!</v>
      </c>
      <c r="AM16" s="372"/>
      <c r="AN16" s="77"/>
      <c r="AO16" s="324"/>
      <c r="AP16" s="325"/>
      <c r="AQ16" s="325"/>
      <c r="AR16" s="325"/>
      <c r="AS16" s="325"/>
      <c r="AT16" s="326"/>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row>
    <row r="17" spans="1:80" ht="15" customHeight="1" x14ac:dyDescent="0.25">
      <c r="A17" s="77"/>
      <c r="B17" s="310"/>
      <c r="C17" s="310"/>
      <c r="D17" s="311"/>
      <c r="E17" s="351"/>
      <c r="F17" s="352"/>
      <c r="G17" s="352"/>
      <c r="H17" s="352"/>
      <c r="I17" s="365"/>
      <c r="J17" s="379"/>
      <c r="K17" s="380"/>
      <c r="L17" s="380"/>
      <c r="M17" s="380"/>
      <c r="N17" s="380"/>
      <c r="O17" s="381"/>
      <c r="P17" s="379"/>
      <c r="Q17" s="380"/>
      <c r="R17" s="380"/>
      <c r="S17" s="380"/>
      <c r="T17" s="380"/>
      <c r="U17" s="381"/>
      <c r="V17" s="362"/>
      <c r="W17" s="359"/>
      <c r="X17" s="357"/>
      <c r="Y17" s="357"/>
      <c r="Z17" s="357"/>
      <c r="AA17" s="358"/>
      <c r="AB17" s="362"/>
      <c r="AC17" s="359"/>
      <c r="AD17" s="357"/>
      <c r="AE17" s="357"/>
      <c r="AF17" s="357"/>
      <c r="AG17" s="358"/>
      <c r="AH17" s="370"/>
      <c r="AI17" s="371"/>
      <c r="AJ17" s="371"/>
      <c r="AK17" s="371"/>
      <c r="AL17" s="371"/>
      <c r="AM17" s="372"/>
      <c r="AN17" s="77"/>
      <c r="AO17" s="324"/>
      <c r="AP17" s="325"/>
      <c r="AQ17" s="325"/>
      <c r="AR17" s="325"/>
      <c r="AS17" s="325"/>
      <c r="AT17" s="326"/>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row>
    <row r="18" spans="1:80" ht="15" customHeight="1" x14ac:dyDescent="0.25">
      <c r="A18" s="77"/>
      <c r="B18" s="310"/>
      <c r="C18" s="310"/>
      <c r="D18" s="311"/>
      <c r="E18" s="351"/>
      <c r="F18" s="352"/>
      <c r="G18" s="352"/>
      <c r="H18" s="352"/>
      <c r="I18" s="365"/>
      <c r="J18" s="379" t="e">
        <f>IF(AND('MAPA V5 2022'!#REF!="Alta",'MAPA V5 2022'!#REF!="Leve"),CONCATENATE("R",'MAPA V5 2022'!#REF!),"")</f>
        <v>#REF!</v>
      </c>
      <c r="K18" s="380"/>
      <c r="L18" s="380" t="e">
        <f>IF(AND('MAPA V5 2022'!#REF!="Alta",'MAPA V5 2022'!#REF!="Leve"),CONCATENATE("R",'MAPA V5 2022'!#REF!),"")</f>
        <v>#REF!</v>
      </c>
      <c r="M18" s="380"/>
      <c r="N18" s="380" t="str">
        <f>IF(AND('MAPA V5 2022'!$J$44="Alta",'MAPA V5 2022'!$N$44="Leve"),CONCATENATE("R",'MAPA V5 2022'!$C$44),"")</f>
        <v/>
      </c>
      <c r="O18" s="381"/>
      <c r="P18" s="379" t="e">
        <f>IF(AND('MAPA V5 2022'!#REF!="Alta",'MAPA V5 2022'!#REF!="Menor"),CONCATENATE("R",'MAPA V5 2022'!#REF!),"")</f>
        <v>#REF!</v>
      </c>
      <c r="Q18" s="380"/>
      <c r="R18" s="380" t="e">
        <f>IF(AND('MAPA V5 2022'!#REF!="Alta",'MAPA V5 2022'!#REF!="Menor"),CONCATENATE("R",'MAPA V5 2022'!#REF!),"")</f>
        <v>#REF!</v>
      </c>
      <c r="S18" s="380"/>
      <c r="T18" s="380" t="str">
        <f>IF(AND('MAPA V5 2022'!$J$44="Alta",'MAPA V5 2022'!$N$44="Menor"),CONCATENATE("R",'MAPA V5 2022'!$C$44),"")</f>
        <v/>
      </c>
      <c r="U18" s="381"/>
      <c r="V18" s="362" t="e">
        <f>IF(AND('MAPA V5 2022'!#REF!="Alta",'MAPA V5 2022'!#REF!="Moderado"),CONCATENATE("R",'MAPA V5 2022'!#REF!),"")</f>
        <v>#REF!</v>
      </c>
      <c r="W18" s="359"/>
      <c r="X18" s="357" t="e">
        <f>IF(AND('MAPA V5 2022'!#REF!="Alta",'MAPA V5 2022'!#REF!="Moderado"),CONCATENATE("R",'MAPA V5 2022'!#REF!),"")</f>
        <v>#REF!</v>
      </c>
      <c r="Y18" s="357"/>
      <c r="Z18" s="357" t="str">
        <f>IF(AND('MAPA V5 2022'!$J$44="Alta",'MAPA V5 2022'!$N$44="Moderado"),CONCATENATE("R",'MAPA V5 2022'!$C$44),"")</f>
        <v/>
      </c>
      <c r="AA18" s="358"/>
      <c r="AB18" s="362" t="e">
        <f>IF(AND('MAPA V5 2022'!#REF!="Alta",'MAPA V5 2022'!#REF!="Mayor"),CONCATENATE("R",'MAPA V5 2022'!#REF!),"")</f>
        <v>#REF!</v>
      </c>
      <c r="AC18" s="359"/>
      <c r="AD18" s="357" t="e">
        <f>IF(AND('MAPA V5 2022'!#REF!="Alta",'MAPA V5 2022'!#REF!="Mayor"),CONCATENATE("R",'MAPA V5 2022'!#REF!),"")</f>
        <v>#REF!</v>
      </c>
      <c r="AE18" s="357"/>
      <c r="AF18" s="357" t="str">
        <f>IF(AND('MAPA V5 2022'!$J$44="Alta",'MAPA V5 2022'!$N$44="Mayor"),CONCATENATE("R",'MAPA V5 2022'!$C$44),"")</f>
        <v/>
      </c>
      <c r="AG18" s="358"/>
      <c r="AH18" s="370" t="e">
        <f>IF(AND('MAPA V5 2022'!#REF!="Alta",'MAPA V5 2022'!#REF!="Catastrófico"),CONCATENATE("R",'MAPA V5 2022'!#REF!),"")</f>
        <v>#REF!</v>
      </c>
      <c r="AI18" s="371"/>
      <c r="AJ18" s="371" t="e">
        <f>IF(AND('MAPA V5 2022'!#REF!="Alta",'MAPA V5 2022'!#REF!="Catastrófico"),CONCATENATE("R",'MAPA V5 2022'!#REF!),"")</f>
        <v>#REF!</v>
      </c>
      <c r="AK18" s="371"/>
      <c r="AL18" s="371" t="str">
        <f>IF(AND('MAPA V5 2022'!$J$44="Alta",'MAPA V5 2022'!$N$44="Catastrófico"),CONCATENATE("R",'MAPA V5 2022'!$C$44),"")</f>
        <v/>
      </c>
      <c r="AM18" s="372"/>
      <c r="AN18" s="77"/>
      <c r="AO18" s="324"/>
      <c r="AP18" s="325"/>
      <c r="AQ18" s="325"/>
      <c r="AR18" s="325"/>
      <c r="AS18" s="325"/>
      <c r="AT18" s="326"/>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row>
    <row r="19" spans="1:80" ht="15" customHeight="1" x14ac:dyDescent="0.25">
      <c r="A19" s="77"/>
      <c r="B19" s="310"/>
      <c r="C19" s="310"/>
      <c r="D19" s="311"/>
      <c r="E19" s="351"/>
      <c r="F19" s="352"/>
      <c r="G19" s="352"/>
      <c r="H19" s="352"/>
      <c r="I19" s="365"/>
      <c r="J19" s="379"/>
      <c r="K19" s="380"/>
      <c r="L19" s="380"/>
      <c r="M19" s="380"/>
      <c r="N19" s="380"/>
      <c r="O19" s="381"/>
      <c r="P19" s="379"/>
      <c r="Q19" s="380"/>
      <c r="R19" s="380"/>
      <c r="S19" s="380"/>
      <c r="T19" s="380"/>
      <c r="U19" s="381"/>
      <c r="V19" s="362"/>
      <c r="W19" s="359"/>
      <c r="X19" s="357"/>
      <c r="Y19" s="357"/>
      <c r="Z19" s="357"/>
      <c r="AA19" s="358"/>
      <c r="AB19" s="362"/>
      <c r="AC19" s="359"/>
      <c r="AD19" s="357"/>
      <c r="AE19" s="357"/>
      <c r="AF19" s="357"/>
      <c r="AG19" s="358"/>
      <c r="AH19" s="370"/>
      <c r="AI19" s="371"/>
      <c r="AJ19" s="371"/>
      <c r="AK19" s="371"/>
      <c r="AL19" s="371"/>
      <c r="AM19" s="372"/>
      <c r="AN19" s="77"/>
      <c r="AO19" s="324"/>
      <c r="AP19" s="325"/>
      <c r="AQ19" s="325"/>
      <c r="AR19" s="325"/>
      <c r="AS19" s="325"/>
      <c r="AT19" s="326"/>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row>
    <row r="20" spans="1:80" ht="15" customHeight="1" x14ac:dyDescent="0.25">
      <c r="A20" s="77"/>
      <c r="B20" s="310"/>
      <c r="C20" s="310"/>
      <c r="D20" s="311"/>
      <c r="E20" s="351"/>
      <c r="F20" s="352"/>
      <c r="G20" s="352"/>
      <c r="H20" s="352"/>
      <c r="I20" s="365"/>
      <c r="J20" s="379" t="e">
        <f>IF(AND('MAPA V5 2022'!#REF!="Alta",'MAPA V5 2022'!#REF!="Leve"),CONCATENATE("R",'MAPA V5 2022'!#REF!),"")</f>
        <v>#REF!</v>
      </c>
      <c r="K20" s="380"/>
      <c r="L20" s="380" t="e">
        <f>IF(AND('MAPA V5 2022'!#REF!="Alta",'MAPA V5 2022'!#REF!="Leve"),CONCATENATE("R",'MAPA V5 2022'!#REF!),"")</f>
        <v>#REF!</v>
      </c>
      <c r="M20" s="380"/>
      <c r="N20" s="380" t="str">
        <f>IF(AND('MAPA V5 2022'!$J$72="Alta",'MAPA V5 2022'!$N$72="Leve"),CONCATENATE("R",'MAPA V5 2022'!$C$72),"")</f>
        <v/>
      </c>
      <c r="O20" s="381"/>
      <c r="P20" s="379" t="e">
        <f>IF(AND('MAPA V5 2022'!#REF!="Alta",'MAPA V5 2022'!#REF!="Menor"),CONCATENATE("R",'MAPA V5 2022'!#REF!),"")</f>
        <v>#REF!</v>
      </c>
      <c r="Q20" s="380"/>
      <c r="R20" s="380" t="e">
        <f>IF(AND('MAPA V5 2022'!#REF!="Alta",'MAPA V5 2022'!#REF!="Menor"),CONCATENATE("R",'MAPA V5 2022'!#REF!),"")</f>
        <v>#REF!</v>
      </c>
      <c r="S20" s="380"/>
      <c r="T20" s="380" t="str">
        <f>IF(AND('MAPA V5 2022'!$J$72="Alta",'MAPA V5 2022'!$N$72="Menor"),CONCATENATE("R",'MAPA V5 2022'!$C$72),"")</f>
        <v/>
      </c>
      <c r="U20" s="381"/>
      <c r="V20" s="362" t="e">
        <f>IF(AND('MAPA V5 2022'!#REF!="Alta",'MAPA V5 2022'!#REF!="Moderado"),CONCATENATE("R",'MAPA V5 2022'!#REF!),"")</f>
        <v>#REF!</v>
      </c>
      <c r="W20" s="359"/>
      <c r="X20" s="357" t="e">
        <f>IF(AND('MAPA V5 2022'!#REF!="Alta",'MAPA V5 2022'!#REF!="Moderado"),CONCATENATE("R",'MAPA V5 2022'!#REF!),"")</f>
        <v>#REF!</v>
      </c>
      <c r="Y20" s="357"/>
      <c r="Z20" s="357" t="str">
        <f>IF(AND('MAPA V5 2022'!$J$72="Alta",'MAPA V5 2022'!$N$72="Moderado"),CONCATENATE("R",'MAPA V5 2022'!$C$72),"")</f>
        <v/>
      </c>
      <c r="AA20" s="358"/>
      <c r="AB20" s="362" t="e">
        <f>IF(AND('MAPA V5 2022'!#REF!="Alta",'MAPA V5 2022'!#REF!="Mayor"),CONCATENATE("R",'MAPA V5 2022'!#REF!),"")</f>
        <v>#REF!</v>
      </c>
      <c r="AC20" s="359"/>
      <c r="AD20" s="357" t="e">
        <f>IF(AND('MAPA V5 2022'!#REF!="Alta",'MAPA V5 2022'!#REF!="Mayor"),CONCATENATE("R",'MAPA V5 2022'!#REF!),"")</f>
        <v>#REF!</v>
      </c>
      <c r="AE20" s="357"/>
      <c r="AF20" s="357" t="str">
        <f>IF(AND('MAPA V5 2022'!$J$72="Alta",'MAPA V5 2022'!$N$72="Mayor"),CONCATENATE("R",'MAPA V5 2022'!$C$72),"")</f>
        <v/>
      </c>
      <c r="AG20" s="358"/>
      <c r="AH20" s="370" t="e">
        <f>IF(AND('MAPA V5 2022'!#REF!="Alta",'MAPA V5 2022'!#REF!="Catastrófico"),CONCATENATE("R",'MAPA V5 2022'!#REF!),"")</f>
        <v>#REF!</v>
      </c>
      <c r="AI20" s="371"/>
      <c r="AJ20" s="371" t="e">
        <f>IF(AND('MAPA V5 2022'!#REF!="Alta",'MAPA V5 2022'!#REF!="Catastrófico"),CONCATENATE("R",'MAPA V5 2022'!#REF!),"")</f>
        <v>#REF!</v>
      </c>
      <c r="AK20" s="371"/>
      <c r="AL20" s="371" t="str">
        <f>IF(AND('MAPA V5 2022'!$J$72="Alta",'MAPA V5 2022'!$N$72="Catastrófico"),CONCATENATE("R",'MAPA V5 2022'!$C$72),"")</f>
        <v/>
      </c>
      <c r="AM20" s="372"/>
      <c r="AN20" s="77"/>
      <c r="AO20" s="324"/>
      <c r="AP20" s="325"/>
      <c r="AQ20" s="325"/>
      <c r="AR20" s="325"/>
      <c r="AS20" s="325"/>
      <c r="AT20" s="326"/>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row>
    <row r="21" spans="1:80" ht="15.75" customHeight="1" thickBot="1" x14ac:dyDescent="0.3">
      <c r="A21" s="77"/>
      <c r="B21" s="310"/>
      <c r="C21" s="310"/>
      <c r="D21" s="311"/>
      <c r="E21" s="354"/>
      <c r="F21" s="355"/>
      <c r="G21" s="355"/>
      <c r="H21" s="355"/>
      <c r="I21" s="355"/>
      <c r="J21" s="382"/>
      <c r="K21" s="383"/>
      <c r="L21" s="383"/>
      <c r="M21" s="383"/>
      <c r="N21" s="383"/>
      <c r="O21" s="384"/>
      <c r="P21" s="382"/>
      <c r="Q21" s="383"/>
      <c r="R21" s="383"/>
      <c r="S21" s="383"/>
      <c r="T21" s="383"/>
      <c r="U21" s="384"/>
      <c r="V21" s="367"/>
      <c r="W21" s="368"/>
      <c r="X21" s="368"/>
      <c r="Y21" s="368"/>
      <c r="Z21" s="368"/>
      <c r="AA21" s="369"/>
      <c r="AB21" s="367"/>
      <c r="AC21" s="368"/>
      <c r="AD21" s="368"/>
      <c r="AE21" s="368"/>
      <c r="AF21" s="368"/>
      <c r="AG21" s="369"/>
      <c r="AH21" s="373"/>
      <c r="AI21" s="374"/>
      <c r="AJ21" s="374"/>
      <c r="AK21" s="374"/>
      <c r="AL21" s="374"/>
      <c r="AM21" s="375"/>
      <c r="AN21" s="77"/>
      <c r="AO21" s="327"/>
      <c r="AP21" s="328"/>
      <c r="AQ21" s="328"/>
      <c r="AR21" s="328"/>
      <c r="AS21" s="328"/>
      <c r="AT21" s="329"/>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row>
    <row r="22" spans="1:80" x14ac:dyDescent="0.25">
      <c r="A22" s="77"/>
      <c r="B22" s="310"/>
      <c r="C22" s="310"/>
      <c r="D22" s="311"/>
      <c r="E22" s="348" t="s">
        <v>98</v>
      </c>
      <c r="F22" s="349"/>
      <c r="G22" s="349"/>
      <c r="H22" s="349"/>
      <c r="I22" s="350"/>
      <c r="J22" s="385" t="str">
        <f>IF(AND('MAPA V5 2022'!$J$7="Media",'MAPA V5 2022'!$N$7="Leve"),CONCATENATE("R",'MAPA V5 2022'!$C$7),"")</f>
        <v/>
      </c>
      <c r="K22" s="386"/>
      <c r="L22" s="386" t="str">
        <f>IF(AND('MAPA V5 2022'!$J$12="Media",'MAPA V5 2022'!$N$12="Leve"),CONCATENATE("R",'MAPA V5 2022'!$C$12),"")</f>
        <v/>
      </c>
      <c r="M22" s="386"/>
      <c r="N22" s="386" t="str">
        <f>IF(AND('MAPA V5 2022'!$J$18="Media",'MAPA V5 2022'!$N$18="Leve"),CONCATENATE("R",'MAPA V5 2022'!$C$18),"")</f>
        <v/>
      </c>
      <c r="O22" s="387"/>
      <c r="P22" s="385" t="str">
        <f>IF(AND('MAPA V5 2022'!$J$7="Media",'MAPA V5 2022'!$N$7="Menor"),CONCATENATE("R",'MAPA V5 2022'!$C$7),"")</f>
        <v/>
      </c>
      <c r="Q22" s="386"/>
      <c r="R22" s="386" t="str">
        <f>IF(AND('MAPA V5 2022'!$J$12="Media",'MAPA V5 2022'!$N$12="Menor"),CONCATENATE("R",'MAPA V5 2022'!$C$12),"")</f>
        <v/>
      </c>
      <c r="S22" s="386"/>
      <c r="T22" s="386" t="str">
        <f>IF(AND('MAPA V5 2022'!$J$18="Media",'MAPA V5 2022'!$N$18="Menor"),CONCATENATE("R",'MAPA V5 2022'!$C$18),"")</f>
        <v/>
      </c>
      <c r="U22" s="387"/>
      <c r="V22" s="385" t="str">
        <f>IF(AND('MAPA V5 2022'!$J$7="Media",'MAPA V5 2022'!$N$7="Moderado"),CONCATENATE("R",'MAPA V5 2022'!$C$7),"")</f>
        <v/>
      </c>
      <c r="W22" s="386"/>
      <c r="X22" s="386" t="str">
        <f>IF(AND('MAPA V5 2022'!$J$12="Media",'MAPA V5 2022'!$N$12="Moderado"),CONCATENATE("R",'MAPA V5 2022'!$C$12),"")</f>
        <v/>
      </c>
      <c r="Y22" s="386"/>
      <c r="Z22" s="386" t="str">
        <f>IF(AND('MAPA V5 2022'!$J$18="Media",'MAPA V5 2022'!$N$18="Moderado"),CONCATENATE("R",'MAPA V5 2022'!$C$18),"")</f>
        <v>R13</v>
      </c>
      <c r="AA22" s="387"/>
      <c r="AB22" s="360" t="str">
        <f>IF(AND('MAPA V5 2022'!$J$7="Media",'MAPA V5 2022'!$N$7="Mayor"),CONCATENATE("R",'MAPA V5 2022'!$C$7),"")</f>
        <v>R1</v>
      </c>
      <c r="AC22" s="361"/>
      <c r="AD22" s="361" t="str">
        <f>IF(AND('MAPA V5 2022'!$J$12="Media",'MAPA V5 2022'!$N$12="Mayor"),CONCATENATE("R",'MAPA V5 2022'!$C$12),"")</f>
        <v/>
      </c>
      <c r="AE22" s="361"/>
      <c r="AF22" s="361" t="str">
        <f>IF(AND('MAPA V5 2022'!$J$18="Media",'MAPA V5 2022'!$N$18="Mayor"),CONCATENATE("R",'MAPA V5 2022'!$C$18),"")</f>
        <v/>
      </c>
      <c r="AG22" s="363"/>
      <c r="AH22" s="376" t="str">
        <f>IF(AND('MAPA V5 2022'!$J$7="Media",'MAPA V5 2022'!$N$7="Catastrófico"),CONCATENATE("R",'MAPA V5 2022'!$C$7),"")</f>
        <v/>
      </c>
      <c r="AI22" s="377"/>
      <c r="AJ22" s="377" t="str">
        <f>IF(AND('MAPA V5 2022'!$J$12="Media",'MAPA V5 2022'!$N$12="Catastrófico"),CONCATENATE("R",'MAPA V5 2022'!$C$12),"")</f>
        <v/>
      </c>
      <c r="AK22" s="377"/>
      <c r="AL22" s="377" t="str">
        <f>IF(AND('MAPA V5 2022'!$J$18="Media",'MAPA V5 2022'!$N$18="Catastrófico"),CONCATENATE("R",'MAPA V5 2022'!$C$18),"")</f>
        <v/>
      </c>
      <c r="AM22" s="378"/>
      <c r="AN22" s="77"/>
      <c r="AO22" s="330" t="s">
        <v>65</v>
      </c>
      <c r="AP22" s="331"/>
      <c r="AQ22" s="331"/>
      <c r="AR22" s="331"/>
      <c r="AS22" s="331"/>
      <c r="AT22" s="332"/>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row>
    <row r="23" spans="1:80" x14ac:dyDescent="0.25">
      <c r="A23" s="77"/>
      <c r="B23" s="310"/>
      <c r="C23" s="310"/>
      <c r="D23" s="311"/>
      <c r="E23" s="351"/>
      <c r="F23" s="352"/>
      <c r="G23" s="352"/>
      <c r="H23" s="352"/>
      <c r="I23" s="353"/>
      <c r="J23" s="379"/>
      <c r="K23" s="380"/>
      <c r="L23" s="380"/>
      <c r="M23" s="380"/>
      <c r="N23" s="380"/>
      <c r="O23" s="381"/>
      <c r="P23" s="379"/>
      <c r="Q23" s="380"/>
      <c r="R23" s="380"/>
      <c r="S23" s="380"/>
      <c r="T23" s="380"/>
      <c r="U23" s="381"/>
      <c r="V23" s="379"/>
      <c r="W23" s="380"/>
      <c r="X23" s="380"/>
      <c r="Y23" s="380"/>
      <c r="Z23" s="380"/>
      <c r="AA23" s="381"/>
      <c r="AB23" s="362"/>
      <c r="AC23" s="359"/>
      <c r="AD23" s="359"/>
      <c r="AE23" s="359"/>
      <c r="AF23" s="359"/>
      <c r="AG23" s="358"/>
      <c r="AH23" s="370"/>
      <c r="AI23" s="371"/>
      <c r="AJ23" s="371"/>
      <c r="AK23" s="371"/>
      <c r="AL23" s="371"/>
      <c r="AM23" s="372"/>
      <c r="AN23" s="77"/>
      <c r="AO23" s="333"/>
      <c r="AP23" s="334"/>
      <c r="AQ23" s="334"/>
      <c r="AR23" s="334"/>
      <c r="AS23" s="334"/>
      <c r="AT23" s="335"/>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row>
    <row r="24" spans="1:80" x14ac:dyDescent="0.25">
      <c r="A24" s="77"/>
      <c r="B24" s="310"/>
      <c r="C24" s="310"/>
      <c r="D24" s="311"/>
      <c r="E24" s="351"/>
      <c r="F24" s="352"/>
      <c r="G24" s="352"/>
      <c r="H24" s="352"/>
      <c r="I24" s="353"/>
      <c r="J24" s="379" t="str">
        <f>IF(AND('MAPA V5 2022'!$J$25="Media",'MAPA V5 2022'!$N$25="Leve"),CONCATENATE("R",'MAPA V5 2022'!$C$25),"")</f>
        <v/>
      </c>
      <c r="K24" s="380"/>
      <c r="L24" s="380" t="str">
        <f>IF(AND('MAPA V5 2022'!$J$29="Media",'MAPA V5 2022'!$N$29="Leve"),CONCATENATE("R",'MAPA V5 2022'!$C$29),"")</f>
        <v/>
      </c>
      <c r="M24" s="380"/>
      <c r="N24" s="380" t="e">
        <f>IF(AND('MAPA V5 2022'!#REF!="Media",'MAPA V5 2022'!#REF!="Leve"),CONCATENATE("R",'MAPA V5 2022'!#REF!),"")</f>
        <v>#REF!</v>
      </c>
      <c r="O24" s="381"/>
      <c r="P24" s="379" t="str">
        <f>IF(AND('MAPA V5 2022'!$J$25="Media",'MAPA V5 2022'!$N$25="Menor"),CONCATENATE("R",'MAPA V5 2022'!$C$25),"")</f>
        <v/>
      </c>
      <c r="Q24" s="380"/>
      <c r="R24" s="380" t="str">
        <f>IF(AND('MAPA V5 2022'!$J$29="Media",'MAPA V5 2022'!$N$29="Menor"),CONCATENATE("R",'MAPA V5 2022'!$C$29),"")</f>
        <v/>
      </c>
      <c r="S24" s="380"/>
      <c r="T24" s="380" t="e">
        <f>IF(AND('MAPA V5 2022'!#REF!="Media",'MAPA V5 2022'!#REF!="Menor"),CONCATENATE("R",'MAPA V5 2022'!#REF!),"")</f>
        <v>#REF!</v>
      </c>
      <c r="U24" s="381"/>
      <c r="V24" s="379" t="str">
        <f>IF(AND('MAPA V5 2022'!$J$25="Media",'MAPA V5 2022'!$N$25="Moderado"),CONCATENATE("R",'MAPA V5 2022'!$C$25),"")</f>
        <v/>
      </c>
      <c r="W24" s="380"/>
      <c r="X24" s="380" t="str">
        <f>IF(AND('MAPA V5 2022'!$J$29="Media",'MAPA V5 2022'!$N$29="Moderado"),CONCATENATE("R",'MAPA V5 2022'!$C$29),"")</f>
        <v/>
      </c>
      <c r="Y24" s="380"/>
      <c r="Z24" s="380" t="e">
        <f>IF(AND('MAPA V5 2022'!#REF!="Media",'MAPA V5 2022'!#REF!="Moderado"),CONCATENATE("R",'MAPA V5 2022'!#REF!),"")</f>
        <v>#REF!</v>
      </c>
      <c r="AA24" s="381"/>
      <c r="AB24" s="362" t="str">
        <f>IF(AND('MAPA V5 2022'!$J$25="Media",'MAPA V5 2022'!$N$25="Mayor"),CONCATENATE("R",'MAPA V5 2022'!$C$25),"")</f>
        <v/>
      </c>
      <c r="AC24" s="359"/>
      <c r="AD24" s="357" t="str">
        <f>IF(AND('MAPA V5 2022'!$J$29="Media",'MAPA V5 2022'!$N$29="Mayor"),CONCATENATE("R",'MAPA V5 2022'!$C$29),"")</f>
        <v/>
      </c>
      <c r="AE24" s="357"/>
      <c r="AF24" s="357" t="e">
        <f>IF(AND('MAPA V5 2022'!#REF!="Media",'MAPA V5 2022'!#REF!="Mayor"),CONCATENATE("R",'MAPA V5 2022'!#REF!),"")</f>
        <v>#REF!</v>
      </c>
      <c r="AG24" s="358"/>
      <c r="AH24" s="370" t="str">
        <f>IF(AND('MAPA V5 2022'!$J$25="Media",'MAPA V5 2022'!$N$25="Catastrófico"),CONCATENATE("R",'MAPA V5 2022'!$C$25),"")</f>
        <v/>
      </c>
      <c r="AI24" s="371"/>
      <c r="AJ24" s="371" t="str">
        <f>IF(AND('MAPA V5 2022'!$J$29="Media",'MAPA V5 2022'!$N$29="Catastrófico"),CONCATENATE("R",'MAPA V5 2022'!$C$29),"")</f>
        <v/>
      </c>
      <c r="AK24" s="371"/>
      <c r="AL24" s="371" t="e">
        <f>IF(AND('MAPA V5 2022'!#REF!="Media",'MAPA V5 2022'!#REF!="Catastrófico"),CONCATENATE("R",'MAPA V5 2022'!#REF!),"")</f>
        <v>#REF!</v>
      </c>
      <c r="AM24" s="372"/>
      <c r="AN24" s="77"/>
      <c r="AO24" s="333"/>
      <c r="AP24" s="334"/>
      <c r="AQ24" s="334"/>
      <c r="AR24" s="334"/>
      <c r="AS24" s="334"/>
      <c r="AT24" s="335"/>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row>
    <row r="25" spans="1:80" x14ac:dyDescent="0.25">
      <c r="A25" s="77"/>
      <c r="B25" s="310"/>
      <c r="C25" s="310"/>
      <c r="D25" s="311"/>
      <c r="E25" s="351"/>
      <c r="F25" s="352"/>
      <c r="G25" s="352"/>
      <c r="H25" s="352"/>
      <c r="I25" s="353"/>
      <c r="J25" s="379"/>
      <c r="K25" s="380"/>
      <c r="L25" s="380"/>
      <c r="M25" s="380"/>
      <c r="N25" s="380"/>
      <c r="O25" s="381"/>
      <c r="P25" s="379"/>
      <c r="Q25" s="380"/>
      <c r="R25" s="380"/>
      <c r="S25" s="380"/>
      <c r="T25" s="380"/>
      <c r="U25" s="381"/>
      <c r="V25" s="379"/>
      <c r="W25" s="380"/>
      <c r="X25" s="380"/>
      <c r="Y25" s="380"/>
      <c r="Z25" s="380"/>
      <c r="AA25" s="381"/>
      <c r="AB25" s="362"/>
      <c r="AC25" s="359"/>
      <c r="AD25" s="357"/>
      <c r="AE25" s="357"/>
      <c r="AF25" s="357"/>
      <c r="AG25" s="358"/>
      <c r="AH25" s="370"/>
      <c r="AI25" s="371"/>
      <c r="AJ25" s="371"/>
      <c r="AK25" s="371"/>
      <c r="AL25" s="371"/>
      <c r="AM25" s="372"/>
      <c r="AN25" s="77"/>
      <c r="AO25" s="333"/>
      <c r="AP25" s="334"/>
      <c r="AQ25" s="334"/>
      <c r="AR25" s="334"/>
      <c r="AS25" s="334"/>
      <c r="AT25" s="335"/>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row>
    <row r="26" spans="1:80" x14ac:dyDescent="0.25">
      <c r="A26" s="77"/>
      <c r="B26" s="310"/>
      <c r="C26" s="310"/>
      <c r="D26" s="311"/>
      <c r="E26" s="351"/>
      <c r="F26" s="352"/>
      <c r="G26" s="352"/>
      <c r="H26" s="352"/>
      <c r="I26" s="353"/>
      <c r="J26" s="379" t="e">
        <f>IF(AND('MAPA V5 2022'!#REF!="Media",'MAPA V5 2022'!#REF!="Leve"),CONCATENATE("R",'MAPA V5 2022'!#REF!),"")</f>
        <v>#REF!</v>
      </c>
      <c r="K26" s="380"/>
      <c r="L26" s="380" t="e">
        <f>IF(AND('MAPA V5 2022'!#REF!="Media",'MAPA V5 2022'!#REF!="Leve"),CONCATENATE("R",'MAPA V5 2022'!#REF!),"")</f>
        <v>#REF!</v>
      </c>
      <c r="M26" s="380"/>
      <c r="N26" s="380" t="str">
        <f>IF(AND('MAPA V5 2022'!$J$44="Media",'MAPA V5 2022'!$N$44="Leve"),CONCATENATE("R",'MAPA V5 2022'!$C$44),"")</f>
        <v/>
      </c>
      <c r="O26" s="381"/>
      <c r="P26" s="379" t="e">
        <f>IF(AND('MAPA V5 2022'!#REF!="Media",'MAPA V5 2022'!#REF!="Menor"),CONCATENATE("R",'MAPA V5 2022'!#REF!),"")</f>
        <v>#REF!</v>
      </c>
      <c r="Q26" s="380"/>
      <c r="R26" s="380" t="e">
        <f>IF(AND('MAPA V5 2022'!#REF!="Media",'MAPA V5 2022'!#REF!="Menor"),CONCATENATE("R",'MAPA V5 2022'!#REF!),"")</f>
        <v>#REF!</v>
      </c>
      <c r="S26" s="380"/>
      <c r="T26" s="380" t="str">
        <f>IF(AND('MAPA V5 2022'!$J$44="Media",'MAPA V5 2022'!$N$44="Menor"),CONCATENATE("R",'MAPA V5 2022'!$C$44),"")</f>
        <v/>
      </c>
      <c r="U26" s="381"/>
      <c r="V26" s="379" t="e">
        <f>IF(AND('MAPA V5 2022'!#REF!="Media",'MAPA V5 2022'!#REF!="Moderado"),CONCATENATE("R",'MAPA V5 2022'!#REF!),"")</f>
        <v>#REF!</v>
      </c>
      <c r="W26" s="380"/>
      <c r="X26" s="380" t="e">
        <f>IF(AND('MAPA V5 2022'!#REF!="Media",'MAPA V5 2022'!#REF!="Moderado"),CONCATENATE("R",'MAPA V5 2022'!#REF!),"")</f>
        <v>#REF!</v>
      </c>
      <c r="Y26" s="380"/>
      <c r="Z26" s="380" t="str">
        <f>IF(AND('MAPA V5 2022'!$J$44="Media",'MAPA V5 2022'!$N$44="Moderado"),CONCATENATE("R",'MAPA V5 2022'!$C$44),"")</f>
        <v>R49</v>
      </c>
      <c r="AA26" s="381"/>
      <c r="AB26" s="362" t="e">
        <f>IF(AND('MAPA V5 2022'!#REF!="Media",'MAPA V5 2022'!#REF!="Mayor"),CONCATENATE("R",'MAPA V5 2022'!#REF!),"")</f>
        <v>#REF!</v>
      </c>
      <c r="AC26" s="359"/>
      <c r="AD26" s="357" t="e">
        <f>IF(AND('MAPA V5 2022'!#REF!="Media",'MAPA V5 2022'!#REF!="Mayor"),CONCATENATE("R",'MAPA V5 2022'!#REF!),"")</f>
        <v>#REF!</v>
      </c>
      <c r="AE26" s="357"/>
      <c r="AF26" s="357" t="str">
        <f>IF(AND('MAPA V5 2022'!$J$44="Media",'MAPA V5 2022'!$N$44="Mayor"),CONCATENATE("R",'MAPA V5 2022'!$C$44),"")</f>
        <v/>
      </c>
      <c r="AG26" s="358"/>
      <c r="AH26" s="370" t="e">
        <f>IF(AND('MAPA V5 2022'!#REF!="Media",'MAPA V5 2022'!#REF!="Catastrófico"),CONCATENATE("R",'MAPA V5 2022'!#REF!),"")</f>
        <v>#REF!</v>
      </c>
      <c r="AI26" s="371"/>
      <c r="AJ26" s="371" t="e">
        <f>IF(AND('MAPA V5 2022'!#REF!="Media",'MAPA V5 2022'!#REF!="Catastrófico"),CONCATENATE("R",'MAPA V5 2022'!#REF!),"")</f>
        <v>#REF!</v>
      </c>
      <c r="AK26" s="371"/>
      <c r="AL26" s="371" t="str">
        <f>IF(AND('MAPA V5 2022'!$J$44="Media",'MAPA V5 2022'!$N$44="Catastrófico"),CONCATENATE("R",'MAPA V5 2022'!$C$44),"")</f>
        <v/>
      </c>
      <c r="AM26" s="372"/>
      <c r="AN26" s="77"/>
      <c r="AO26" s="333"/>
      <c r="AP26" s="334"/>
      <c r="AQ26" s="334"/>
      <c r="AR26" s="334"/>
      <c r="AS26" s="334"/>
      <c r="AT26" s="335"/>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row>
    <row r="27" spans="1:80" x14ac:dyDescent="0.25">
      <c r="A27" s="77"/>
      <c r="B27" s="310"/>
      <c r="C27" s="310"/>
      <c r="D27" s="311"/>
      <c r="E27" s="351"/>
      <c r="F27" s="352"/>
      <c r="G27" s="352"/>
      <c r="H27" s="352"/>
      <c r="I27" s="353"/>
      <c r="J27" s="379"/>
      <c r="K27" s="380"/>
      <c r="L27" s="380"/>
      <c r="M27" s="380"/>
      <c r="N27" s="380"/>
      <c r="O27" s="381"/>
      <c r="P27" s="379"/>
      <c r="Q27" s="380"/>
      <c r="R27" s="380"/>
      <c r="S27" s="380"/>
      <c r="T27" s="380"/>
      <c r="U27" s="381"/>
      <c r="V27" s="379"/>
      <c r="W27" s="380"/>
      <c r="X27" s="380"/>
      <c r="Y27" s="380"/>
      <c r="Z27" s="380"/>
      <c r="AA27" s="381"/>
      <c r="AB27" s="362"/>
      <c r="AC27" s="359"/>
      <c r="AD27" s="357"/>
      <c r="AE27" s="357"/>
      <c r="AF27" s="357"/>
      <c r="AG27" s="358"/>
      <c r="AH27" s="370"/>
      <c r="AI27" s="371"/>
      <c r="AJ27" s="371"/>
      <c r="AK27" s="371"/>
      <c r="AL27" s="371"/>
      <c r="AM27" s="372"/>
      <c r="AN27" s="77"/>
      <c r="AO27" s="333"/>
      <c r="AP27" s="334"/>
      <c r="AQ27" s="334"/>
      <c r="AR27" s="334"/>
      <c r="AS27" s="334"/>
      <c r="AT27" s="335"/>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row>
    <row r="28" spans="1:80" x14ac:dyDescent="0.25">
      <c r="A28" s="77"/>
      <c r="B28" s="310"/>
      <c r="C28" s="310"/>
      <c r="D28" s="311"/>
      <c r="E28" s="351"/>
      <c r="F28" s="352"/>
      <c r="G28" s="352"/>
      <c r="H28" s="352"/>
      <c r="I28" s="353"/>
      <c r="J28" s="379" t="e">
        <f>IF(AND('MAPA V5 2022'!#REF!="Media",'MAPA V5 2022'!#REF!="Leve"),CONCATENATE("R",'MAPA V5 2022'!#REF!),"")</f>
        <v>#REF!</v>
      </c>
      <c r="K28" s="380"/>
      <c r="L28" s="380" t="e">
        <f>IF(AND('MAPA V5 2022'!#REF!="Media",'MAPA V5 2022'!#REF!="Leve"),CONCATENATE("R",'MAPA V5 2022'!#REF!),"")</f>
        <v>#REF!</v>
      </c>
      <c r="M28" s="380"/>
      <c r="N28" s="380" t="str">
        <f>IF(AND('MAPA V5 2022'!$J$72="Media",'MAPA V5 2022'!$N$72="Leve"),CONCATENATE("R",'MAPA V5 2022'!$C$72),"")</f>
        <v/>
      </c>
      <c r="O28" s="381"/>
      <c r="P28" s="379" t="e">
        <f>IF(AND('MAPA V5 2022'!#REF!="Media",'MAPA V5 2022'!#REF!="Menor"),CONCATENATE("R",'MAPA V5 2022'!#REF!),"")</f>
        <v>#REF!</v>
      </c>
      <c r="Q28" s="380"/>
      <c r="R28" s="380" t="e">
        <f>IF(AND('MAPA V5 2022'!#REF!="Media",'MAPA V5 2022'!#REF!="Menor"),CONCATENATE("R",'MAPA V5 2022'!#REF!),"")</f>
        <v>#REF!</v>
      </c>
      <c r="S28" s="380"/>
      <c r="T28" s="380" t="str">
        <f>IF(AND('MAPA V5 2022'!$J$72="Media",'MAPA V5 2022'!$N$72="Menor"),CONCATENATE("R",'MAPA V5 2022'!$C$72),"")</f>
        <v/>
      </c>
      <c r="U28" s="381"/>
      <c r="V28" s="379" t="e">
        <f>IF(AND('MAPA V5 2022'!#REF!="Media",'MAPA V5 2022'!#REF!="Moderado"),CONCATENATE("R",'MAPA V5 2022'!#REF!),"")</f>
        <v>#REF!</v>
      </c>
      <c r="W28" s="380"/>
      <c r="X28" s="380" t="e">
        <f>IF(AND('MAPA V5 2022'!#REF!="Media",'MAPA V5 2022'!#REF!="Moderado"),CONCATENATE("R",'MAPA V5 2022'!#REF!),"")</f>
        <v>#REF!</v>
      </c>
      <c r="Y28" s="380"/>
      <c r="Z28" s="380" t="str">
        <f>IF(AND('MAPA V5 2022'!$J$72="Media",'MAPA V5 2022'!$N$72="Moderado"),CONCATENATE("R",'MAPA V5 2022'!$C$72),"")</f>
        <v/>
      </c>
      <c r="AA28" s="381"/>
      <c r="AB28" s="362" t="e">
        <f>IF(AND('MAPA V5 2022'!#REF!="Media",'MAPA V5 2022'!#REF!="Mayor"),CONCATENATE("R",'MAPA V5 2022'!#REF!),"")</f>
        <v>#REF!</v>
      </c>
      <c r="AC28" s="359"/>
      <c r="AD28" s="357" t="e">
        <f>IF(AND('MAPA V5 2022'!#REF!="Media",'MAPA V5 2022'!#REF!="Mayor"),CONCATENATE("R",'MAPA V5 2022'!#REF!),"")</f>
        <v>#REF!</v>
      </c>
      <c r="AE28" s="357"/>
      <c r="AF28" s="357" t="str">
        <f>IF(AND('MAPA V5 2022'!$J$72="Media",'MAPA V5 2022'!$N$72="Mayor"),CONCATENATE("R",'MAPA V5 2022'!$C$72),"")</f>
        <v/>
      </c>
      <c r="AG28" s="358"/>
      <c r="AH28" s="370" t="e">
        <f>IF(AND('MAPA V5 2022'!#REF!="Media",'MAPA V5 2022'!#REF!="Catastrófico"),CONCATENATE("R",'MAPA V5 2022'!#REF!),"")</f>
        <v>#REF!</v>
      </c>
      <c r="AI28" s="371"/>
      <c r="AJ28" s="371" t="e">
        <f>IF(AND('MAPA V5 2022'!#REF!="Media",'MAPA V5 2022'!#REF!="Catastrófico"),CONCATENATE("R",'MAPA V5 2022'!#REF!),"")</f>
        <v>#REF!</v>
      </c>
      <c r="AK28" s="371"/>
      <c r="AL28" s="371" t="str">
        <f>IF(AND('MAPA V5 2022'!$J$72="Media",'MAPA V5 2022'!$N$72="Catastrófico"),CONCATENATE("R",'MAPA V5 2022'!$C$72),"")</f>
        <v/>
      </c>
      <c r="AM28" s="372"/>
      <c r="AN28" s="77"/>
      <c r="AO28" s="333"/>
      <c r="AP28" s="334"/>
      <c r="AQ28" s="334"/>
      <c r="AR28" s="334"/>
      <c r="AS28" s="334"/>
      <c r="AT28" s="335"/>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row>
    <row r="29" spans="1:80" ht="15.75" thickBot="1" x14ac:dyDescent="0.3">
      <c r="A29" s="77"/>
      <c r="B29" s="310"/>
      <c r="C29" s="310"/>
      <c r="D29" s="311"/>
      <c r="E29" s="354"/>
      <c r="F29" s="355"/>
      <c r="G29" s="355"/>
      <c r="H29" s="355"/>
      <c r="I29" s="356"/>
      <c r="J29" s="379"/>
      <c r="K29" s="380"/>
      <c r="L29" s="380"/>
      <c r="M29" s="380"/>
      <c r="N29" s="380"/>
      <c r="O29" s="381"/>
      <c r="P29" s="382"/>
      <c r="Q29" s="383"/>
      <c r="R29" s="383"/>
      <c r="S29" s="383"/>
      <c r="T29" s="383"/>
      <c r="U29" s="384"/>
      <c r="V29" s="382"/>
      <c r="W29" s="383"/>
      <c r="X29" s="383"/>
      <c r="Y29" s="383"/>
      <c r="Z29" s="383"/>
      <c r="AA29" s="384"/>
      <c r="AB29" s="367"/>
      <c r="AC29" s="368"/>
      <c r="AD29" s="368"/>
      <c r="AE29" s="368"/>
      <c r="AF29" s="368"/>
      <c r="AG29" s="369"/>
      <c r="AH29" s="373"/>
      <c r="AI29" s="374"/>
      <c r="AJ29" s="374"/>
      <c r="AK29" s="374"/>
      <c r="AL29" s="374"/>
      <c r="AM29" s="375"/>
      <c r="AN29" s="77"/>
      <c r="AO29" s="336"/>
      <c r="AP29" s="337"/>
      <c r="AQ29" s="337"/>
      <c r="AR29" s="337"/>
      <c r="AS29" s="337"/>
      <c r="AT29" s="338"/>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row>
    <row r="30" spans="1:80" x14ac:dyDescent="0.25">
      <c r="A30" s="77"/>
      <c r="B30" s="310"/>
      <c r="C30" s="310"/>
      <c r="D30" s="311"/>
      <c r="E30" s="348" t="s">
        <v>95</v>
      </c>
      <c r="F30" s="349"/>
      <c r="G30" s="349"/>
      <c r="H30" s="349"/>
      <c r="I30" s="349"/>
      <c r="J30" s="394" t="str">
        <f>IF(AND('MAPA V5 2022'!$J$7="Baja",'MAPA V5 2022'!$N$7="Leve"),CONCATENATE("R",'MAPA V5 2022'!$C$7),"")</f>
        <v/>
      </c>
      <c r="K30" s="395"/>
      <c r="L30" s="395" t="str">
        <f>IF(AND('MAPA V5 2022'!$J$12="Baja",'MAPA V5 2022'!$N$12="Leve"),CONCATENATE("R",'MAPA V5 2022'!$C$12),"")</f>
        <v/>
      </c>
      <c r="M30" s="395"/>
      <c r="N30" s="395" t="str">
        <f>IF(AND('MAPA V5 2022'!$J$18="Baja",'MAPA V5 2022'!$N$18="Leve"),CONCATENATE("R",'MAPA V5 2022'!$C$18),"")</f>
        <v/>
      </c>
      <c r="O30" s="396"/>
      <c r="P30" s="386" t="str">
        <f>IF(AND('MAPA V5 2022'!$J$7="Baja",'MAPA V5 2022'!$N$7="Menor"),CONCATENATE("R",'MAPA V5 2022'!$C$7),"")</f>
        <v/>
      </c>
      <c r="Q30" s="386"/>
      <c r="R30" s="386" t="str">
        <f>IF(AND('MAPA V5 2022'!$J$12="Baja",'MAPA V5 2022'!$N$12="Menor"),CONCATENATE("R",'MAPA V5 2022'!$C$12),"")</f>
        <v/>
      </c>
      <c r="S30" s="386"/>
      <c r="T30" s="386" t="str">
        <f>IF(AND('MAPA V5 2022'!$J$18="Baja",'MAPA V5 2022'!$N$18="Menor"),CONCATENATE("R",'MAPA V5 2022'!$C$18),"")</f>
        <v/>
      </c>
      <c r="U30" s="387"/>
      <c r="V30" s="385" t="str">
        <f>IF(AND('MAPA V5 2022'!$J$7="Baja",'MAPA V5 2022'!$N$7="Moderado"),CONCATENATE("R",'MAPA V5 2022'!$C$7),"")</f>
        <v/>
      </c>
      <c r="W30" s="386"/>
      <c r="X30" s="386" t="str">
        <f>IF(AND('MAPA V5 2022'!$J$12="Baja",'MAPA V5 2022'!$N$12="Moderado"),CONCATENATE("R",'MAPA V5 2022'!$C$12),"")</f>
        <v/>
      </c>
      <c r="Y30" s="386"/>
      <c r="Z30" s="386" t="str">
        <f>IF(AND('MAPA V5 2022'!$J$18="Baja",'MAPA V5 2022'!$N$18="Moderado"),CONCATENATE("R",'MAPA V5 2022'!$C$18),"")</f>
        <v/>
      </c>
      <c r="AA30" s="387"/>
      <c r="AB30" s="360" t="str">
        <f>IF(AND('MAPA V5 2022'!$J$7="Baja",'MAPA V5 2022'!$N$7="Mayor"),CONCATENATE("R",'MAPA V5 2022'!$C$7),"")</f>
        <v/>
      </c>
      <c r="AC30" s="361"/>
      <c r="AD30" s="361" t="str">
        <f>IF(AND('MAPA V5 2022'!$J$12="Baja",'MAPA V5 2022'!$N$12="Mayor"),CONCATENATE("R",'MAPA V5 2022'!$C$12),"")</f>
        <v/>
      </c>
      <c r="AE30" s="361"/>
      <c r="AF30" s="361" t="str">
        <f>IF(AND('MAPA V5 2022'!$J$18="Baja",'MAPA V5 2022'!$N$18="Mayor"),CONCATENATE("R",'MAPA V5 2022'!$C$18),"")</f>
        <v/>
      </c>
      <c r="AG30" s="363"/>
      <c r="AH30" s="376" t="str">
        <f>IF(AND('MAPA V5 2022'!$J$7="Baja",'MAPA V5 2022'!$N$7="Catastrófico"),CONCATENATE("R",'MAPA V5 2022'!$C$7),"")</f>
        <v/>
      </c>
      <c r="AI30" s="377"/>
      <c r="AJ30" s="377" t="str">
        <f>IF(AND('MAPA V5 2022'!$J$12="Baja",'MAPA V5 2022'!$N$12="Catastrófico"),CONCATENATE("R",'MAPA V5 2022'!$C$12),"")</f>
        <v/>
      </c>
      <c r="AK30" s="377"/>
      <c r="AL30" s="377" t="str">
        <f>IF(AND('MAPA V5 2022'!$J$18="Baja",'MAPA V5 2022'!$N$18="Catastrófico"),CONCATENATE("R",'MAPA V5 2022'!$C$18),"")</f>
        <v/>
      </c>
      <c r="AM30" s="378"/>
      <c r="AN30" s="77"/>
      <c r="AO30" s="339" t="s">
        <v>66</v>
      </c>
      <c r="AP30" s="340"/>
      <c r="AQ30" s="340"/>
      <c r="AR30" s="340"/>
      <c r="AS30" s="340"/>
      <c r="AT30" s="341"/>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7"/>
      <c r="BX30" s="77"/>
      <c r="BY30" s="77"/>
      <c r="BZ30" s="77"/>
      <c r="CA30" s="77"/>
      <c r="CB30" s="77"/>
    </row>
    <row r="31" spans="1:80" x14ac:dyDescent="0.25">
      <c r="A31" s="77"/>
      <c r="B31" s="310"/>
      <c r="C31" s="310"/>
      <c r="D31" s="311"/>
      <c r="E31" s="351"/>
      <c r="F31" s="352"/>
      <c r="G31" s="352"/>
      <c r="H31" s="352"/>
      <c r="I31" s="365"/>
      <c r="J31" s="390"/>
      <c r="K31" s="388"/>
      <c r="L31" s="388"/>
      <c r="M31" s="388"/>
      <c r="N31" s="388"/>
      <c r="O31" s="389"/>
      <c r="P31" s="380"/>
      <c r="Q31" s="380"/>
      <c r="R31" s="380"/>
      <c r="S31" s="380"/>
      <c r="T31" s="380"/>
      <c r="U31" s="381"/>
      <c r="V31" s="379"/>
      <c r="W31" s="380"/>
      <c r="X31" s="380"/>
      <c r="Y31" s="380"/>
      <c r="Z31" s="380"/>
      <c r="AA31" s="381"/>
      <c r="AB31" s="362"/>
      <c r="AC31" s="359"/>
      <c r="AD31" s="359"/>
      <c r="AE31" s="359"/>
      <c r="AF31" s="359"/>
      <c r="AG31" s="358"/>
      <c r="AH31" s="370"/>
      <c r="AI31" s="371"/>
      <c r="AJ31" s="371"/>
      <c r="AK31" s="371"/>
      <c r="AL31" s="371"/>
      <c r="AM31" s="372"/>
      <c r="AN31" s="77"/>
      <c r="AO31" s="342"/>
      <c r="AP31" s="343"/>
      <c r="AQ31" s="343"/>
      <c r="AR31" s="343"/>
      <c r="AS31" s="343"/>
      <c r="AT31" s="344"/>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row>
    <row r="32" spans="1:80" x14ac:dyDescent="0.25">
      <c r="A32" s="77"/>
      <c r="B32" s="310"/>
      <c r="C32" s="310"/>
      <c r="D32" s="311"/>
      <c r="E32" s="351"/>
      <c r="F32" s="352"/>
      <c r="G32" s="352"/>
      <c r="H32" s="352"/>
      <c r="I32" s="365"/>
      <c r="J32" s="390" t="str">
        <f>IF(AND('MAPA V5 2022'!$J$25="Baja",'MAPA V5 2022'!$N$25="Leve"),CONCATENATE("R",'MAPA V5 2022'!$C$25),"")</f>
        <v/>
      </c>
      <c r="K32" s="388"/>
      <c r="L32" s="388" t="str">
        <f>IF(AND('MAPA V5 2022'!$J$29="Baja",'MAPA V5 2022'!$N$29="Leve"),CONCATENATE("R",'MAPA V5 2022'!$C$29),"")</f>
        <v/>
      </c>
      <c r="M32" s="388"/>
      <c r="N32" s="388" t="e">
        <f>IF(AND('MAPA V5 2022'!#REF!="Baja",'MAPA V5 2022'!#REF!="Leve"),CONCATENATE("R",'MAPA V5 2022'!#REF!),"")</f>
        <v>#REF!</v>
      </c>
      <c r="O32" s="389"/>
      <c r="P32" s="380" t="str">
        <f>IF(AND('MAPA V5 2022'!$J$25="Baja",'MAPA V5 2022'!$N$25="Menor"),CONCATENATE("R",'MAPA V5 2022'!$C$25),"")</f>
        <v/>
      </c>
      <c r="Q32" s="380"/>
      <c r="R32" s="380" t="str">
        <f>IF(AND('MAPA V5 2022'!$J$29="Baja",'MAPA V5 2022'!$N$29="Menor"),CONCATENATE("R",'MAPA V5 2022'!$C$29),"")</f>
        <v/>
      </c>
      <c r="S32" s="380"/>
      <c r="T32" s="380" t="e">
        <f>IF(AND('MAPA V5 2022'!#REF!="Baja",'MAPA V5 2022'!#REF!="Menor"),CONCATENATE("R",'MAPA V5 2022'!#REF!),"")</f>
        <v>#REF!</v>
      </c>
      <c r="U32" s="381"/>
      <c r="V32" s="379" t="str">
        <f>IF(AND('MAPA V5 2022'!$J$25="Baja",'MAPA V5 2022'!$N$25="Moderado"),CONCATENATE("R",'MAPA V5 2022'!$C$25),"")</f>
        <v/>
      </c>
      <c r="W32" s="380"/>
      <c r="X32" s="380" t="str">
        <f>IF(AND('MAPA V5 2022'!$J$29="Baja",'MAPA V5 2022'!$N$29="Moderado"),CONCATENATE("R",'MAPA V5 2022'!$C$29),"")</f>
        <v/>
      </c>
      <c r="Y32" s="380"/>
      <c r="Z32" s="380" t="e">
        <f>IF(AND('MAPA V5 2022'!#REF!="Baja",'MAPA V5 2022'!#REF!="Moderado"),CONCATENATE("R",'MAPA V5 2022'!#REF!),"")</f>
        <v>#REF!</v>
      </c>
      <c r="AA32" s="381"/>
      <c r="AB32" s="362" t="str">
        <f>IF(AND('MAPA V5 2022'!$J$25="Baja",'MAPA V5 2022'!$N$25="Mayor"),CONCATENATE("R",'MAPA V5 2022'!$C$25),"")</f>
        <v/>
      </c>
      <c r="AC32" s="359"/>
      <c r="AD32" s="357" t="str">
        <f>IF(AND('MAPA V5 2022'!$J$29="Baja",'MAPA V5 2022'!$N$29="Mayor"),CONCATENATE("R",'MAPA V5 2022'!$C$29),"")</f>
        <v/>
      </c>
      <c r="AE32" s="357"/>
      <c r="AF32" s="357" t="e">
        <f>IF(AND('MAPA V5 2022'!#REF!="Baja",'MAPA V5 2022'!#REF!="Mayor"),CONCATENATE("R",'MAPA V5 2022'!#REF!),"")</f>
        <v>#REF!</v>
      </c>
      <c r="AG32" s="358"/>
      <c r="AH32" s="370" t="str">
        <f>IF(AND('MAPA V5 2022'!$J$25="Baja",'MAPA V5 2022'!$N$25="Catastrófico"),CONCATENATE("R",'MAPA V5 2022'!$C$25),"")</f>
        <v/>
      </c>
      <c r="AI32" s="371"/>
      <c r="AJ32" s="371" t="str">
        <f>IF(AND('MAPA V5 2022'!$J$29="Baja",'MAPA V5 2022'!$N$29="Catastrófico"),CONCATENATE("R",'MAPA V5 2022'!$C$29),"")</f>
        <v/>
      </c>
      <c r="AK32" s="371"/>
      <c r="AL32" s="371" t="e">
        <f>IF(AND('MAPA V5 2022'!#REF!="Baja",'MAPA V5 2022'!#REF!="Catastrófico"),CONCATENATE("R",'MAPA V5 2022'!#REF!),"")</f>
        <v>#REF!</v>
      </c>
      <c r="AM32" s="372"/>
      <c r="AN32" s="77"/>
      <c r="AO32" s="342"/>
      <c r="AP32" s="343"/>
      <c r="AQ32" s="343"/>
      <c r="AR32" s="343"/>
      <c r="AS32" s="343"/>
      <c r="AT32" s="344"/>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row>
    <row r="33" spans="1:80" x14ac:dyDescent="0.25">
      <c r="A33" s="77"/>
      <c r="B33" s="310"/>
      <c r="C33" s="310"/>
      <c r="D33" s="311"/>
      <c r="E33" s="351"/>
      <c r="F33" s="352"/>
      <c r="G33" s="352"/>
      <c r="H33" s="352"/>
      <c r="I33" s="365"/>
      <c r="J33" s="390"/>
      <c r="K33" s="388"/>
      <c r="L33" s="388"/>
      <c r="M33" s="388"/>
      <c r="N33" s="388"/>
      <c r="O33" s="389"/>
      <c r="P33" s="380"/>
      <c r="Q33" s="380"/>
      <c r="R33" s="380"/>
      <c r="S33" s="380"/>
      <c r="T33" s="380"/>
      <c r="U33" s="381"/>
      <c r="V33" s="379"/>
      <c r="W33" s="380"/>
      <c r="X33" s="380"/>
      <c r="Y33" s="380"/>
      <c r="Z33" s="380"/>
      <c r="AA33" s="381"/>
      <c r="AB33" s="362"/>
      <c r="AC33" s="359"/>
      <c r="AD33" s="357"/>
      <c r="AE33" s="357"/>
      <c r="AF33" s="357"/>
      <c r="AG33" s="358"/>
      <c r="AH33" s="370"/>
      <c r="AI33" s="371"/>
      <c r="AJ33" s="371"/>
      <c r="AK33" s="371"/>
      <c r="AL33" s="371"/>
      <c r="AM33" s="372"/>
      <c r="AN33" s="77"/>
      <c r="AO33" s="342"/>
      <c r="AP33" s="343"/>
      <c r="AQ33" s="343"/>
      <c r="AR33" s="343"/>
      <c r="AS33" s="343"/>
      <c r="AT33" s="344"/>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row>
    <row r="34" spans="1:80" x14ac:dyDescent="0.25">
      <c r="A34" s="77"/>
      <c r="B34" s="310"/>
      <c r="C34" s="310"/>
      <c r="D34" s="311"/>
      <c r="E34" s="351"/>
      <c r="F34" s="352"/>
      <c r="G34" s="352"/>
      <c r="H34" s="352"/>
      <c r="I34" s="365"/>
      <c r="J34" s="390" t="e">
        <f>IF(AND('MAPA V5 2022'!#REF!="Baja",'MAPA V5 2022'!#REF!="Leve"),CONCATENATE("R",'MAPA V5 2022'!#REF!),"")</f>
        <v>#REF!</v>
      </c>
      <c r="K34" s="388"/>
      <c r="L34" s="388" t="e">
        <f>IF(AND('MAPA V5 2022'!#REF!="Baja",'MAPA V5 2022'!#REF!="Leve"),CONCATENATE("R",'MAPA V5 2022'!#REF!),"")</f>
        <v>#REF!</v>
      </c>
      <c r="M34" s="388"/>
      <c r="N34" s="388" t="str">
        <f>IF(AND('MAPA V5 2022'!$J$44="Baja",'MAPA V5 2022'!$N$44="Leve"),CONCATENATE("R",'MAPA V5 2022'!$C$44),"")</f>
        <v/>
      </c>
      <c r="O34" s="389"/>
      <c r="P34" s="380" t="e">
        <f>IF(AND('MAPA V5 2022'!#REF!="Baja",'MAPA V5 2022'!#REF!="Menor"),CONCATENATE("R",'MAPA V5 2022'!#REF!),"")</f>
        <v>#REF!</v>
      </c>
      <c r="Q34" s="380"/>
      <c r="R34" s="380" t="e">
        <f>IF(AND('MAPA V5 2022'!#REF!="Baja",'MAPA V5 2022'!#REF!="Menor"),CONCATENATE("R",'MAPA V5 2022'!#REF!),"")</f>
        <v>#REF!</v>
      </c>
      <c r="S34" s="380"/>
      <c r="T34" s="380" t="str">
        <f>IF(AND('MAPA V5 2022'!$J$44="Baja",'MAPA V5 2022'!$N$44="Menor"),CONCATENATE("R",'MAPA V5 2022'!$C$44),"")</f>
        <v/>
      </c>
      <c r="U34" s="381"/>
      <c r="V34" s="379" t="e">
        <f>IF(AND('MAPA V5 2022'!#REF!="Baja",'MAPA V5 2022'!#REF!="Moderado"),CONCATENATE("R",'MAPA V5 2022'!#REF!),"")</f>
        <v>#REF!</v>
      </c>
      <c r="W34" s="380"/>
      <c r="X34" s="380" t="e">
        <f>IF(AND('MAPA V5 2022'!#REF!="Baja",'MAPA V5 2022'!#REF!="Moderado"),CONCATENATE("R",'MAPA V5 2022'!#REF!),"")</f>
        <v>#REF!</v>
      </c>
      <c r="Y34" s="380"/>
      <c r="Z34" s="380" t="str">
        <f>IF(AND('MAPA V5 2022'!$J$44="Baja",'MAPA V5 2022'!$N$44="Moderado"),CONCATENATE("R",'MAPA V5 2022'!$C$44),"")</f>
        <v/>
      </c>
      <c r="AA34" s="381"/>
      <c r="AB34" s="362" t="e">
        <f>IF(AND('MAPA V5 2022'!#REF!="Baja",'MAPA V5 2022'!#REF!="Mayor"),CONCATENATE("R",'MAPA V5 2022'!#REF!),"")</f>
        <v>#REF!</v>
      </c>
      <c r="AC34" s="359"/>
      <c r="AD34" s="357" t="e">
        <f>IF(AND('MAPA V5 2022'!#REF!="Baja",'MAPA V5 2022'!#REF!="Mayor"),CONCATENATE("R",'MAPA V5 2022'!#REF!),"")</f>
        <v>#REF!</v>
      </c>
      <c r="AE34" s="357"/>
      <c r="AF34" s="357" t="str">
        <f>IF(AND('MAPA V5 2022'!$J$44="Baja",'MAPA V5 2022'!$N$44="Mayor"),CONCATENATE("R",'MAPA V5 2022'!$C$44),"")</f>
        <v/>
      </c>
      <c r="AG34" s="358"/>
      <c r="AH34" s="370" t="e">
        <f>IF(AND('MAPA V5 2022'!#REF!="Baja",'MAPA V5 2022'!#REF!="Catastrófico"),CONCATENATE("R",'MAPA V5 2022'!#REF!),"")</f>
        <v>#REF!</v>
      </c>
      <c r="AI34" s="371"/>
      <c r="AJ34" s="371" t="e">
        <f>IF(AND('MAPA V5 2022'!#REF!="Baja",'MAPA V5 2022'!#REF!="Catastrófico"),CONCATENATE("R",'MAPA V5 2022'!#REF!),"")</f>
        <v>#REF!</v>
      </c>
      <c r="AK34" s="371"/>
      <c r="AL34" s="371" t="str">
        <f>IF(AND('MAPA V5 2022'!$J$44="Baja",'MAPA V5 2022'!$N$44="Catastrófico"),CONCATENATE("R",'MAPA V5 2022'!$C$44),"")</f>
        <v/>
      </c>
      <c r="AM34" s="372"/>
      <c r="AN34" s="77"/>
      <c r="AO34" s="342"/>
      <c r="AP34" s="343"/>
      <c r="AQ34" s="343"/>
      <c r="AR34" s="343"/>
      <c r="AS34" s="343"/>
      <c r="AT34" s="344"/>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row>
    <row r="35" spans="1:80" x14ac:dyDescent="0.25">
      <c r="A35" s="77"/>
      <c r="B35" s="310"/>
      <c r="C35" s="310"/>
      <c r="D35" s="311"/>
      <c r="E35" s="351"/>
      <c r="F35" s="352"/>
      <c r="G35" s="352"/>
      <c r="H35" s="352"/>
      <c r="I35" s="365"/>
      <c r="J35" s="390"/>
      <c r="K35" s="388"/>
      <c r="L35" s="388"/>
      <c r="M35" s="388"/>
      <c r="N35" s="388"/>
      <c r="O35" s="389"/>
      <c r="P35" s="380"/>
      <c r="Q35" s="380"/>
      <c r="R35" s="380"/>
      <c r="S35" s="380"/>
      <c r="T35" s="380"/>
      <c r="U35" s="381"/>
      <c r="V35" s="379"/>
      <c r="W35" s="380"/>
      <c r="X35" s="380"/>
      <c r="Y35" s="380"/>
      <c r="Z35" s="380"/>
      <c r="AA35" s="381"/>
      <c r="AB35" s="362"/>
      <c r="AC35" s="359"/>
      <c r="AD35" s="357"/>
      <c r="AE35" s="357"/>
      <c r="AF35" s="357"/>
      <c r="AG35" s="358"/>
      <c r="AH35" s="370"/>
      <c r="AI35" s="371"/>
      <c r="AJ35" s="371"/>
      <c r="AK35" s="371"/>
      <c r="AL35" s="371"/>
      <c r="AM35" s="372"/>
      <c r="AN35" s="77"/>
      <c r="AO35" s="342"/>
      <c r="AP35" s="343"/>
      <c r="AQ35" s="343"/>
      <c r="AR35" s="343"/>
      <c r="AS35" s="343"/>
      <c r="AT35" s="344"/>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row>
    <row r="36" spans="1:80" x14ac:dyDescent="0.25">
      <c r="A36" s="77"/>
      <c r="B36" s="310"/>
      <c r="C36" s="310"/>
      <c r="D36" s="311"/>
      <c r="E36" s="351"/>
      <c r="F36" s="352"/>
      <c r="G36" s="352"/>
      <c r="H36" s="352"/>
      <c r="I36" s="365"/>
      <c r="J36" s="390" t="e">
        <f>IF(AND('MAPA V5 2022'!#REF!="Baja",'MAPA V5 2022'!#REF!="Leve"),CONCATENATE("R",'MAPA V5 2022'!#REF!),"")</f>
        <v>#REF!</v>
      </c>
      <c r="K36" s="388"/>
      <c r="L36" s="388" t="e">
        <f>IF(AND('MAPA V5 2022'!#REF!="Baja",'MAPA V5 2022'!#REF!="Leve"),CONCATENATE("R",'MAPA V5 2022'!#REF!),"")</f>
        <v>#REF!</v>
      </c>
      <c r="M36" s="388"/>
      <c r="N36" s="388" t="str">
        <f>IF(AND('MAPA V5 2022'!$J$72="Baja",'MAPA V5 2022'!$N$72="Leve"),CONCATENATE("R",'MAPA V5 2022'!$C$72),"")</f>
        <v/>
      </c>
      <c r="O36" s="389"/>
      <c r="P36" s="380" t="e">
        <f>IF(AND('MAPA V5 2022'!#REF!="Baja",'MAPA V5 2022'!#REF!="Menor"),CONCATENATE("R",'MAPA V5 2022'!#REF!),"")</f>
        <v>#REF!</v>
      </c>
      <c r="Q36" s="380"/>
      <c r="R36" s="380" t="e">
        <f>IF(AND('MAPA V5 2022'!#REF!="Baja",'MAPA V5 2022'!#REF!="Menor"),CONCATENATE("R",'MAPA V5 2022'!#REF!),"")</f>
        <v>#REF!</v>
      </c>
      <c r="S36" s="380"/>
      <c r="T36" s="380" t="str">
        <f>IF(AND('MAPA V5 2022'!$J$72="Baja",'MAPA V5 2022'!$N$72="Menor"),CONCATENATE("R",'MAPA V5 2022'!$C$72),"")</f>
        <v/>
      </c>
      <c r="U36" s="381"/>
      <c r="V36" s="379" t="e">
        <f>IF(AND('MAPA V5 2022'!#REF!="Baja",'MAPA V5 2022'!#REF!="Moderado"),CONCATENATE("R",'MAPA V5 2022'!#REF!),"")</f>
        <v>#REF!</v>
      </c>
      <c r="W36" s="380"/>
      <c r="X36" s="380" t="e">
        <f>IF(AND('MAPA V5 2022'!#REF!="Baja",'MAPA V5 2022'!#REF!="Moderado"),CONCATENATE("R",'MAPA V5 2022'!#REF!),"")</f>
        <v>#REF!</v>
      </c>
      <c r="Y36" s="380"/>
      <c r="Z36" s="380" t="str">
        <f>IF(AND('MAPA V5 2022'!$J$72="Baja",'MAPA V5 2022'!$N$72="Moderado"),CONCATENATE("R",'MAPA V5 2022'!$C$72),"")</f>
        <v/>
      </c>
      <c r="AA36" s="381"/>
      <c r="AB36" s="362" t="e">
        <f>IF(AND('MAPA V5 2022'!#REF!="Baja",'MAPA V5 2022'!#REF!="Mayor"),CONCATENATE("R",'MAPA V5 2022'!#REF!),"")</f>
        <v>#REF!</v>
      </c>
      <c r="AC36" s="359"/>
      <c r="AD36" s="357" t="e">
        <f>IF(AND('MAPA V5 2022'!#REF!="Baja",'MAPA V5 2022'!#REF!="Mayor"),CONCATENATE("R",'MAPA V5 2022'!#REF!),"")</f>
        <v>#REF!</v>
      </c>
      <c r="AE36" s="357"/>
      <c r="AF36" s="357" t="str">
        <f>IF(AND('MAPA V5 2022'!$J$72="Baja",'MAPA V5 2022'!$N$72="Mayor"),CONCATENATE("R",'MAPA V5 2022'!$C$72),"")</f>
        <v/>
      </c>
      <c r="AG36" s="358"/>
      <c r="AH36" s="370" t="e">
        <f>IF(AND('MAPA V5 2022'!#REF!="Baja",'MAPA V5 2022'!#REF!="Catastrófico"),CONCATENATE("R",'MAPA V5 2022'!#REF!),"")</f>
        <v>#REF!</v>
      </c>
      <c r="AI36" s="371"/>
      <c r="AJ36" s="371" t="e">
        <f>IF(AND('MAPA V5 2022'!#REF!="Baja",'MAPA V5 2022'!#REF!="Catastrófico"),CONCATENATE("R",'MAPA V5 2022'!#REF!),"")</f>
        <v>#REF!</v>
      </c>
      <c r="AK36" s="371"/>
      <c r="AL36" s="371" t="str">
        <f>IF(AND('MAPA V5 2022'!$J$72="Baja",'MAPA V5 2022'!$N$72="Catastrófico"),CONCATENATE("R",'MAPA V5 2022'!$C$72),"")</f>
        <v/>
      </c>
      <c r="AM36" s="372"/>
      <c r="AN36" s="77"/>
      <c r="AO36" s="342"/>
      <c r="AP36" s="343"/>
      <c r="AQ36" s="343"/>
      <c r="AR36" s="343"/>
      <c r="AS36" s="343"/>
      <c r="AT36" s="344"/>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row>
    <row r="37" spans="1:80" ht="15.75" thickBot="1" x14ac:dyDescent="0.3">
      <c r="A37" s="77"/>
      <c r="B37" s="310"/>
      <c r="C37" s="310"/>
      <c r="D37" s="311"/>
      <c r="E37" s="354"/>
      <c r="F37" s="355"/>
      <c r="G37" s="355"/>
      <c r="H37" s="355"/>
      <c r="I37" s="355"/>
      <c r="J37" s="391"/>
      <c r="K37" s="392"/>
      <c r="L37" s="392"/>
      <c r="M37" s="392"/>
      <c r="N37" s="392"/>
      <c r="O37" s="393"/>
      <c r="P37" s="383"/>
      <c r="Q37" s="383"/>
      <c r="R37" s="383"/>
      <c r="S37" s="383"/>
      <c r="T37" s="383"/>
      <c r="U37" s="384"/>
      <c r="V37" s="382"/>
      <c r="W37" s="383"/>
      <c r="X37" s="383"/>
      <c r="Y37" s="383"/>
      <c r="Z37" s="383"/>
      <c r="AA37" s="384"/>
      <c r="AB37" s="367"/>
      <c r="AC37" s="368"/>
      <c r="AD37" s="368"/>
      <c r="AE37" s="368"/>
      <c r="AF37" s="368"/>
      <c r="AG37" s="369"/>
      <c r="AH37" s="373"/>
      <c r="AI37" s="374"/>
      <c r="AJ37" s="374"/>
      <c r="AK37" s="374"/>
      <c r="AL37" s="374"/>
      <c r="AM37" s="375"/>
      <c r="AN37" s="77"/>
      <c r="AO37" s="345"/>
      <c r="AP37" s="346"/>
      <c r="AQ37" s="346"/>
      <c r="AR37" s="346"/>
      <c r="AS37" s="346"/>
      <c r="AT37" s="34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row>
    <row r="38" spans="1:80" x14ac:dyDescent="0.25">
      <c r="A38" s="77"/>
      <c r="B38" s="310"/>
      <c r="C38" s="310"/>
      <c r="D38" s="311"/>
      <c r="E38" s="348" t="s">
        <v>94</v>
      </c>
      <c r="F38" s="349"/>
      <c r="G38" s="349"/>
      <c r="H38" s="349"/>
      <c r="I38" s="350"/>
      <c r="J38" s="394" t="str">
        <f>IF(AND('MAPA V5 2022'!$J$7="Muy Baja",'MAPA V5 2022'!$N$7="Leve"),CONCATENATE("R",'MAPA V5 2022'!$C$7),"")</f>
        <v/>
      </c>
      <c r="K38" s="395"/>
      <c r="L38" s="395" t="str">
        <f>IF(AND('MAPA V5 2022'!$J$12="Muy Baja",'MAPA V5 2022'!$N$12="Leve"),CONCATENATE("R",'MAPA V5 2022'!$C$12),"")</f>
        <v/>
      </c>
      <c r="M38" s="395"/>
      <c r="N38" s="395" t="str">
        <f>IF(AND('MAPA V5 2022'!$J$18="Muy Baja",'MAPA V5 2022'!$N$18="Leve"),CONCATENATE("R",'MAPA V5 2022'!$C$18),"")</f>
        <v/>
      </c>
      <c r="O38" s="396"/>
      <c r="P38" s="394" t="str">
        <f>IF(AND('MAPA V5 2022'!$J$7="Muy Baja",'MAPA V5 2022'!$N$7="Menor"),CONCATENATE("R",'MAPA V5 2022'!$C$7),"")</f>
        <v/>
      </c>
      <c r="Q38" s="395"/>
      <c r="R38" s="395" t="str">
        <f>IF(AND('MAPA V5 2022'!$J$12="Muy Baja",'MAPA V5 2022'!$N$12="Menor"),CONCATENATE("R",'MAPA V5 2022'!$C$12),"")</f>
        <v/>
      </c>
      <c r="S38" s="395"/>
      <c r="T38" s="395" t="str">
        <f>IF(AND('MAPA V5 2022'!$J$18="Muy Baja",'MAPA V5 2022'!$N$18="Menor"),CONCATENATE("R",'MAPA V5 2022'!$C$18),"")</f>
        <v/>
      </c>
      <c r="U38" s="396"/>
      <c r="V38" s="385" t="str">
        <f>IF(AND('MAPA V5 2022'!$J$7="Muy Baja",'MAPA V5 2022'!$N$7="Moderado"),CONCATENATE("R",'MAPA V5 2022'!$C$7),"")</f>
        <v/>
      </c>
      <c r="W38" s="386"/>
      <c r="X38" s="386" t="str">
        <f>IF(AND('MAPA V5 2022'!$J$12="Muy Baja",'MAPA V5 2022'!$N$12="Moderado"),CONCATENATE("R",'MAPA V5 2022'!$C$12),"")</f>
        <v/>
      </c>
      <c r="Y38" s="386"/>
      <c r="Z38" s="386" t="str">
        <f>IF(AND('MAPA V5 2022'!$J$18="Muy Baja",'MAPA V5 2022'!$N$18="Moderado"),CONCATENATE("R",'MAPA V5 2022'!$C$18),"")</f>
        <v/>
      </c>
      <c r="AA38" s="387"/>
      <c r="AB38" s="360" t="str">
        <f>IF(AND('MAPA V5 2022'!$J$7="Muy Baja",'MAPA V5 2022'!$N$7="Mayor"),CONCATENATE("R",'MAPA V5 2022'!$C$7),"")</f>
        <v/>
      </c>
      <c r="AC38" s="361"/>
      <c r="AD38" s="361" t="str">
        <f>IF(AND('MAPA V5 2022'!$J$12="Muy Baja",'MAPA V5 2022'!$N$12="Mayor"),CONCATENATE("R",'MAPA V5 2022'!$C$12),"")</f>
        <v/>
      </c>
      <c r="AE38" s="361"/>
      <c r="AF38" s="361" t="str">
        <f>IF(AND('MAPA V5 2022'!$J$18="Muy Baja",'MAPA V5 2022'!$N$18="Mayor"),CONCATENATE("R",'MAPA V5 2022'!$C$18),"")</f>
        <v/>
      </c>
      <c r="AG38" s="363"/>
      <c r="AH38" s="376" t="str">
        <f>IF(AND('MAPA V5 2022'!$J$7="Muy Baja",'MAPA V5 2022'!$N$7="Catastrófico"),CONCATENATE("R",'MAPA V5 2022'!$C$7),"")</f>
        <v/>
      </c>
      <c r="AI38" s="377"/>
      <c r="AJ38" s="377" t="str">
        <f>IF(AND('MAPA V5 2022'!$J$12="Muy Baja",'MAPA V5 2022'!$N$12="Catastrófico"),CONCATENATE("R",'MAPA V5 2022'!$C$12),"")</f>
        <v/>
      </c>
      <c r="AK38" s="377"/>
      <c r="AL38" s="377" t="str">
        <f>IF(AND('MAPA V5 2022'!$J$18="Muy Baja",'MAPA V5 2022'!$N$18="Catastrófico"),CONCATENATE("R",'MAPA V5 2022'!$C$18),"")</f>
        <v/>
      </c>
      <c r="AM38" s="378"/>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c r="CB38" s="77"/>
    </row>
    <row r="39" spans="1:80" x14ac:dyDescent="0.25">
      <c r="A39" s="77"/>
      <c r="B39" s="310"/>
      <c r="C39" s="310"/>
      <c r="D39" s="311"/>
      <c r="E39" s="351"/>
      <c r="F39" s="352"/>
      <c r="G39" s="352"/>
      <c r="H39" s="352"/>
      <c r="I39" s="353"/>
      <c r="J39" s="390"/>
      <c r="K39" s="388"/>
      <c r="L39" s="388"/>
      <c r="M39" s="388"/>
      <c r="N39" s="388"/>
      <c r="O39" s="389"/>
      <c r="P39" s="390"/>
      <c r="Q39" s="388"/>
      <c r="R39" s="388"/>
      <c r="S39" s="388"/>
      <c r="T39" s="388"/>
      <c r="U39" s="389"/>
      <c r="V39" s="379"/>
      <c r="W39" s="380"/>
      <c r="X39" s="380"/>
      <c r="Y39" s="380"/>
      <c r="Z39" s="380"/>
      <c r="AA39" s="381"/>
      <c r="AB39" s="362"/>
      <c r="AC39" s="359"/>
      <c r="AD39" s="359"/>
      <c r="AE39" s="359"/>
      <c r="AF39" s="359"/>
      <c r="AG39" s="358"/>
      <c r="AH39" s="370"/>
      <c r="AI39" s="371"/>
      <c r="AJ39" s="371"/>
      <c r="AK39" s="371"/>
      <c r="AL39" s="371"/>
      <c r="AM39" s="372"/>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7"/>
      <c r="BR39" s="77"/>
      <c r="BS39" s="77"/>
      <c r="BT39" s="77"/>
      <c r="BU39" s="77"/>
      <c r="BV39" s="77"/>
      <c r="BW39" s="77"/>
      <c r="BX39" s="77"/>
      <c r="BY39" s="77"/>
      <c r="BZ39" s="77"/>
      <c r="CA39" s="77"/>
      <c r="CB39" s="77"/>
    </row>
    <row r="40" spans="1:80" x14ac:dyDescent="0.25">
      <c r="A40" s="77"/>
      <c r="B40" s="310"/>
      <c r="C40" s="310"/>
      <c r="D40" s="311"/>
      <c r="E40" s="351"/>
      <c r="F40" s="352"/>
      <c r="G40" s="352"/>
      <c r="H40" s="352"/>
      <c r="I40" s="353"/>
      <c r="J40" s="390" t="str">
        <f>IF(AND('MAPA V5 2022'!$J$25="Muy Baja",'MAPA V5 2022'!$N$25="Leve"),CONCATENATE("R",'MAPA V5 2022'!$C$25),"")</f>
        <v/>
      </c>
      <c r="K40" s="388"/>
      <c r="L40" s="388" t="str">
        <f>IF(AND('MAPA V5 2022'!$J$29="Muy Baja",'MAPA V5 2022'!$N$29="Leve"),CONCATENATE("R",'MAPA V5 2022'!$C$29),"")</f>
        <v/>
      </c>
      <c r="M40" s="388"/>
      <c r="N40" s="388" t="e">
        <f>IF(AND('MAPA V5 2022'!#REF!="Muy Baja",'MAPA V5 2022'!#REF!="Leve"),CONCATENATE("R",'MAPA V5 2022'!#REF!),"")</f>
        <v>#REF!</v>
      </c>
      <c r="O40" s="389"/>
      <c r="P40" s="390" t="str">
        <f>IF(AND('MAPA V5 2022'!$J$25="Muy Baja",'MAPA V5 2022'!$N$25="Menor"),CONCATENATE("R",'MAPA V5 2022'!$C$25),"")</f>
        <v/>
      </c>
      <c r="Q40" s="388"/>
      <c r="R40" s="388" t="str">
        <f>IF(AND('MAPA V5 2022'!$J$29="Muy Baja",'MAPA V5 2022'!$N$29="Menor"),CONCATENATE("R",'MAPA V5 2022'!$C$29),"")</f>
        <v/>
      </c>
      <c r="S40" s="388"/>
      <c r="T40" s="388" t="e">
        <f>IF(AND('MAPA V5 2022'!#REF!="Muy Baja",'MAPA V5 2022'!#REF!="Menor"),CONCATENATE("R",'MAPA V5 2022'!#REF!),"")</f>
        <v>#REF!</v>
      </c>
      <c r="U40" s="389"/>
      <c r="V40" s="379" t="str">
        <f>IF(AND('MAPA V5 2022'!$J$25="Muy Baja",'MAPA V5 2022'!$N$25="Moderado"),CONCATENATE("R",'MAPA V5 2022'!$C$25),"")</f>
        <v/>
      </c>
      <c r="W40" s="380"/>
      <c r="X40" s="380" t="str">
        <f>IF(AND('MAPA V5 2022'!$J$29="Muy Baja",'MAPA V5 2022'!$N$29="Moderado"),CONCATENATE("R",'MAPA V5 2022'!$C$29),"")</f>
        <v/>
      </c>
      <c r="Y40" s="380"/>
      <c r="Z40" s="380" t="e">
        <f>IF(AND('MAPA V5 2022'!#REF!="Muy Baja",'MAPA V5 2022'!#REF!="Moderado"),CONCATENATE("R",'MAPA V5 2022'!#REF!),"")</f>
        <v>#REF!</v>
      </c>
      <c r="AA40" s="381"/>
      <c r="AB40" s="362" t="str">
        <f>IF(AND('MAPA V5 2022'!$J$25="Muy Baja",'MAPA V5 2022'!$N$25="Mayor"),CONCATENATE("R",'MAPA V5 2022'!$C$25),"")</f>
        <v/>
      </c>
      <c r="AC40" s="359"/>
      <c r="AD40" s="357" t="str">
        <f>IF(AND('MAPA V5 2022'!$J$29="Muy Baja",'MAPA V5 2022'!$N$29="Mayor"),CONCATENATE("R",'MAPA V5 2022'!$C$29),"")</f>
        <v/>
      </c>
      <c r="AE40" s="357"/>
      <c r="AF40" s="357" t="e">
        <f>IF(AND('MAPA V5 2022'!#REF!="Muy Baja",'MAPA V5 2022'!#REF!="Mayor"),CONCATENATE("R",'MAPA V5 2022'!#REF!),"")</f>
        <v>#REF!</v>
      </c>
      <c r="AG40" s="358"/>
      <c r="AH40" s="370" t="str">
        <f>IF(AND('MAPA V5 2022'!$J$25="Muy Baja",'MAPA V5 2022'!$N$25="Catastrófico"),CONCATENATE("R",'MAPA V5 2022'!$C$25),"")</f>
        <v/>
      </c>
      <c r="AI40" s="371"/>
      <c r="AJ40" s="371" t="str">
        <f>IF(AND('MAPA V5 2022'!$J$29="Muy Baja",'MAPA V5 2022'!$N$29="Catastrófico"),CONCATENATE("R",'MAPA V5 2022'!$C$29),"")</f>
        <v/>
      </c>
      <c r="AK40" s="371"/>
      <c r="AL40" s="371" t="e">
        <f>IF(AND('MAPA V5 2022'!#REF!="Muy Baja",'MAPA V5 2022'!#REF!="Catastrófico"),CONCATENATE("R",'MAPA V5 2022'!#REF!),"")</f>
        <v>#REF!</v>
      </c>
      <c r="AM40" s="372"/>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c r="BX40" s="77"/>
      <c r="BY40" s="77"/>
      <c r="BZ40" s="77"/>
      <c r="CA40" s="77"/>
      <c r="CB40" s="77"/>
    </row>
    <row r="41" spans="1:80" x14ac:dyDescent="0.25">
      <c r="A41" s="77"/>
      <c r="B41" s="310"/>
      <c r="C41" s="310"/>
      <c r="D41" s="311"/>
      <c r="E41" s="351"/>
      <c r="F41" s="352"/>
      <c r="G41" s="352"/>
      <c r="H41" s="352"/>
      <c r="I41" s="353"/>
      <c r="J41" s="390"/>
      <c r="K41" s="388"/>
      <c r="L41" s="388"/>
      <c r="M41" s="388"/>
      <c r="N41" s="388"/>
      <c r="O41" s="389"/>
      <c r="P41" s="390"/>
      <c r="Q41" s="388"/>
      <c r="R41" s="388"/>
      <c r="S41" s="388"/>
      <c r="T41" s="388"/>
      <c r="U41" s="389"/>
      <c r="V41" s="379"/>
      <c r="W41" s="380"/>
      <c r="X41" s="380"/>
      <c r="Y41" s="380"/>
      <c r="Z41" s="380"/>
      <c r="AA41" s="381"/>
      <c r="AB41" s="362"/>
      <c r="AC41" s="359"/>
      <c r="AD41" s="357"/>
      <c r="AE41" s="357"/>
      <c r="AF41" s="357"/>
      <c r="AG41" s="358"/>
      <c r="AH41" s="370"/>
      <c r="AI41" s="371"/>
      <c r="AJ41" s="371"/>
      <c r="AK41" s="371"/>
      <c r="AL41" s="371"/>
      <c r="AM41" s="372"/>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77"/>
      <c r="BS41" s="77"/>
      <c r="BT41" s="77"/>
      <c r="BU41" s="77"/>
      <c r="BV41" s="77"/>
      <c r="BW41" s="77"/>
      <c r="BX41" s="77"/>
      <c r="BY41" s="77"/>
      <c r="BZ41" s="77"/>
      <c r="CA41" s="77"/>
      <c r="CB41" s="77"/>
    </row>
    <row r="42" spans="1:80" x14ac:dyDescent="0.25">
      <c r="A42" s="77"/>
      <c r="B42" s="310"/>
      <c r="C42" s="310"/>
      <c r="D42" s="311"/>
      <c r="E42" s="351"/>
      <c r="F42" s="352"/>
      <c r="G42" s="352"/>
      <c r="H42" s="352"/>
      <c r="I42" s="353"/>
      <c r="J42" s="390" t="e">
        <f>IF(AND('MAPA V5 2022'!#REF!="Muy Baja",'MAPA V5 2022'!#REF!="Leve"),CONCATENATE("R",'MAPA V5 2022'!#REF!),"")</f>
        <v>#REF!</v>
      </c>
      <c r="K42" s="388"/>
      <c r="L42" s="388" t="e">
        <f>IF(AND('MAPA V5 2022'!#REF!="Muy Baja",'MAPA V5 2022'!#REF!="Leve"),CONCATENATE("R",'MAPA V5 2022'!#REF!),"")</f>
        <v>#REF!</v>
      </c>
      <c r="M42" s="388"/>
      <c r="N42" s="388" t="str">
        <f>IF(AND('MAPA V5 2022'!$J$44="Muy Baja",'MAPA V5 2022'!$N$44="Leve"),CONCATENATE("R",'MAPA V5 2022'!$C$44),"")</f>
        <v/>
      </c>
      <c r="O42" s="389"/>
      <c r="P42" s="390" t="e">
        <f>IF(AND('MAPA V5 2022'!#REF!="Muy Baja",'MAPA V5 2022'!#REF!="Menor"),CONCATENATE("R",'MAPA V5 2022'!#REF!),"")</f>
        <v>#REF!</v>
      </c>
      <c r="Q42" s="388"/>
      <c r="R42" s="388" t="e">
        <f>IF(AND('MAPA V5 2022'!#REF!="Muy Baja",'MAPA V5 2022'!#REF!="Menor"),CONCATENATE("R",'MAPA V5 2022'!#REF!),"")</f>
        <v>#REF!</v>
      </c>
      <c r="S42" s="388"/>
      <c r="T42" s="388" t="str">
        <f>IF(AND('MAPA V5 2022'!$J$44="Muy Baja",'MAPA V5 2022'!$N$44="Menor"),CONCATENATE("R",'MAPA V5 2022'!$C$44),"")</f>
        <v/>
      </c>
      <c r="U42" s="389"/>
      <c r="V42" s="379" t="e">
        <f>IF(AND('MAPA V5 2022'!#REF!="Muy Baja",'MAPA V5 2022'!#REF!="Moderado"),CONCATENATE("R",'MAPA V5 2022'!#REF!),"")</f>
        <v>#REF!</v>
      </c>
      <c r="W42" s="380"/>
      <c r="X42" s="380" t="e">
        <f>IF(AND('MAPA V5 2022'!#REF!="Muy Baja",'MAPA V5 2022'!#REF!="Moderado"),CONCATENATE("R",'MAPA V5 2022'!#REF!),"")</f>
        <v>#REF!</v>
      </c>
      <c r="Y42" s="380"/>
      <c r="Z42" s="380" t="str">
        <f>IF(AND('MAPA V5 2022'!$J$44="Muy Baja",'MAPA V5 2022'!$N$44="Moderado"),CONCATENATE("R",'MAPA V5 2022'!$C$44),"")</f>
        <v/>
      </c>
      <c r="AA42" s="381"/>
      <c r="AB42" s="362" t="e">
        <f>IF(AND('MAPA V5 2022'!#REF!="Muy Baja",'MAPA V5 2022'!#REF!="Mayor"),CONCATENATE("R",'MAPA V5 2022'!#REF!),"")</f>
        <v>#REF!</v>
      </c>
      <c r="AC42" s="359"/>
      <c r="AD42" s="357" t="e">
        <f>IF(AND('MAPA V5 2022'!#REF!="Muy Baja",'MAPA V5 2022'!#REF!="Mayor"),CONCATENATE("R",'MAPA V5 2022'!#REF!),"")</f>
        <v>#REF!</v>
      </c>
      <c r="AE42" s="357"/>
      <c r="AF42" s="357" t="str">
        <f>IF(AND('MAPA V5 2022'!$J$44="Muy Baja",'MAPA V5 2022'!$N$44="Mayor"),CONCATENATE("R",'MAPA V5 2022'!$C$44),"")</f>
        <v/>
      </c>
      <c r="AG42" s="358"/>
      <c r="AH42" s="370" t="e">
        <f>IF(AND('MAPA V5 2022'!#REF!="Muy Baja",'MAPA V5 2022'!#REF!="Catastrófico"),CONCATENATE("R",'MAPA V5 2022'!#REF!),"")</f>
        <v>#REF!</v>
      </c>
      <c r="AI42" s="371"/>
      <c r="AJ42" s="371" t="e">
        <f>IF(AND('MAPA V5 2022'!#REF!="Muy Baja",'MAPA V5 2022'!#REF!="Catastrófico"),CONCATENATE("R",'MAPA V5 2022'!#REF!),"")</f>
        <v>#REF!</v>
      </c>
      <c r="AK42" s="371"/>
      <c r="AL42" s="371" t="str">
        <f>IF(AND('MAPA V5 2022'!$J$44="Muy Baja",'MAPA V5 2022'!$N$44="Catastrófico"),CONCATENATE("R",'MAPA V5 2022'!$C$44),"")</f>
        <v/>
      </c>
      <c r="AM42" s="372"/>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7"/>
      <c r="BR42" s="77"/>
      <c r="BS42" s="77"/>
      <c r="BT42" s="77"/>
      <c r="BU42" s="77"/>
      <c r="BV42" s="77"/>
      <c r="BW42" s="77"/>
      <c r="BX42" s="77"/>
      <c r="BY42" s="77"/>
      <c r="BZ42" s="77"/>
      <c r="CA42" s="77"/>
      <c r="CB42" s="77"/>
    </row>
    <row r="43" spans="1:80" x14ac:dyDescent="0.25">
      <c r="A43" s="77"/>
      <c r="B43" s="310"/>
      <c r="C43" s="310"/>
      <c r="D43" s="311"/>
      <c r="E43" s="351"/>
      <c r="F43" s="352"/>
      <c r="G43" s="352"/>
      <c r="H43" s="352"/>
      <c r="I43" s="353"/>
      <c r="J43" s="390"/>
      <c r="K43" s="388"/>
      <c r="L43" s="388"/>
      <c r="M43" s="388"/>
      <c r="N43" s="388"/>
      <c r="O43" s="389"/>
      <c r="P43" s="390"/>
      <c r="Q43" s="388"/>
      <c r="R43" s="388"/>
      <c r="S43" s="388"/>
      <c r="T43" s="388"/>
      <c r="U43" s="389"/>
      <c r="V43" s="379"/>
      <c r="W43" s="380"/>
      <c r="X43" s="380"/>
      <c r="Y43" s="380"/>
      <c r="Z43" s="380"/>
      <c r="AA43" s="381"/>
      <c r="AB43" s="362"/>
      <c r="AC43" s="359"/>
      <c r="AD43" s="357"/>
      <c r="AE43" s="357"/>
      <c r="AF43" s="357"/>
      <c r="AG43" s="358"/>
      <c r="AH43" s="370"/>
      <c r="AI43" s="371"/>
      <c r="AJ43" s="371"/>
      <c r="AK43" s="371"/>
      <c r="AL43" s="371"/>
      <c r="AM43" s="372"/>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7"/>
      <c r="BR43" s="77"/>
      <c r="BS43" s="77"/>
      <c r="BT43" s="77"/>
      <c r="BU43" s="77"/>
      <c r="BV43" s="77"/>
      <c r="BW43" s="77"/>
      <c r="BX43" s="77"/>
      <c r="BY43" s="77"/>
      <c r="BZ43" s="77"/>
      <c r="CA43" s="77"/>
      <c r="CB43" s="77"/>
    </row>
    <row r="44" spans="1:80" x14ac:dyDescent="0.25">
      <c r="A44" s="77"/>
      <c r="B44" s="310"/>
      <c r="C44" s="310"/>
      <c r="D44" s="311"/>
      <c r="E44" s="351"/>
      <c r="F44" s="352"/>
      <c r="G44" s="352"/>
      <c r="H44" s="352"/>
      <c r="I44" s="353"/>
      <c r="J44" s="390" t="e">
        <f>IF(AND('MAPA V5 2022'!#REF!="Muy Baja",'MAPA V5 2022'!#REF!="Leve"),CONCATENATE("R",'MAPA V5 2022'!#REF!),"")</f>
        <v>#REF!</v>
      </c>
      <c r="K44" s="388"/>
      <c r="L44" s="388" t="e">
        <f>IF(AND('MAPA V5 2022'!#REF!="Muy Baja",'MAPA V5 2022'!#REF!="Leve"),CONCATENATE("R",'MAPA V5 2022'!#REF!),"")</f>
        <v>#REF!</v>
      </c>
      <c r="M44" s="388"/>
      <c r="N44" s="388" t="str">
        <f>IF(AND('MAPA V5 2022'!$J$72="Muy Baja",'MAPA V5 2022'!$N$72="Leve"),CONCATENATE("R",'MAPA V5 2022'!$C$72),"")</f>
        <v/>
      </c>
      <c r="O44" s="389"/>
      <c r="P44" s="390" t="e">
        <f>IF(AND('MAPA V5 2022'!#REF!="Muy Baja",'MAPA V5 2022'!#REF!="Menor"),CONCATENATE("R",'MAPA V5 2022'!#REF!),"")</f>
        <v>#REF!</v>
      </c>
      <c r="Q44" s="388"/>
      <c r="R44" s="388" t="e">
        <f>IF(AND('MAPA V5 2022'!#REF!="Muy Baja",'MAPA V5 2022'!#REF!="Menor"),CONCATENATE("R",'MAPA V5 2022'!#REF!),"")</f>
        <v>#REF!</v>
      </c>
      <c r="S44" s="388"/>
      <c r="T44" s="388" t="str">
        <f>IF(AND('MAPA V5 2022'!$J$72="Muy Baja",'MAPA V5 2022'!$N$72="Menor"),CONCATENATE("R",'MAPA V5 2022'!$C$72),"")</f>
        <v/>
      </c>
      <c r="U44" s="389"/>
      <c r="V44" s="379" t="e">
        <f>IF(AND('MAPA V5 2022'!#REF!="Muy Baja",'MAPA V5 2022'!#REF!="Moderado"),CONCATENATE("R",'MAPA V5 2022'!#REF!),"")</f>
        <v>#REF!</v>
      </c>
      <c r="W44" s="380"/>
      <c r="X44" s="380" t="e">
        <f>IF(AND('MAPA V5 2022'!#REF!="Muy Baja",'MAPA V5 2022'!#REF!="Moderado"),CONCATENATE("R",'MAPA V5 2022'!#REF!),"")</f>
        <v>#REF!</v>
      </c>
      <c r="Y44" s="380"/>
      <c r="Z44" s="380" t="str">
        <f>IF(AND('MAPA V5 2022'!$J$72="Muy Baja",'MAPA V5 2022'!$N$72="Moderado"),CONCATENATE("R",'MAPA V5 2022'!$C$72),"")</f>
        <v/>
      </c>
      <c r="AA44" s="381"/>
      <c r="AB44" s="362" t="e">
        <f>IF(AND('MAPA V5 2022'!#REF!="Muy Baja",'MAPA V5 2022'!#REF!="Mayor"),CONCATENATE("R",'MAPA V5 2022'!#REF!),"")</f>
        <v>#REF!</v>
      </c>
      <c r="AC44" s="359"/>
      <c r="AD44" s="357" t="e">
        <f>IF(AND('MAPA V5 2022'!#REF!="Muy Baja",'MAPA V5 2022'!#REF!="Mayor"),CONCATENATE("R",'MAPA V5 2022'!#REF!),"")</f>
        <v>#REF!</v>
      </c>
      <c r="AE44" s="357"/>
      <c r="AF44" s="357" t="str">
        <f>IF(AND('MAPA V5 2022'!$J$72="Muy Baja",'MAPA V5 2022'!$N$72="Mayor"),CONCATENATE("R",'MAPA V5 2022'!$C$72),"")</f>
        <v/>
      </c>
      <c r="AG44" s="358"/>
      <c r="AH44" s="370" t="e">
        <f>IF(AND('MAPA V5 2022'!#REF!="Muy Baja",'MAPA V5 2022'!#REF!="Catastrófico"),CONCATENATE("R",'MAPA V5 2022'!#REF!),"")</f>
        <v>#REF!</v>
      </c>
      <c r="AI44" s="371"/>
      <c r="AJ44" s="371" t="e">
        <f>IF(AND('MAPA V5 2022'!#REF!="Muy Baja",'MAPA V5 2022'!#REF!="Catastrófico"),CONCATENATE("R",'MAPA V5 2022'!#REF!),"")</f>
        <v>#REF!</v>
      </c>
      <c r="AK44" s="371"/>
      <c r="AL44" s="371" t="str">
        <f>IF(AND('MAPA V5 2022'!$J$72="Muy Baja",'MAPA V5 2022'!$N$72="Catastrófico"),CONCATENATE("R",'MAPA V5 2022'!$C$72),"")</f>
        <v/>
      </c>
      <c r="AM44" s="372"/>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7"/>
      <c r="BR44" s="77"/>
      <c r="BS44" s="77"/>
      <c r="BT44" s="77"/>
      <c r="BU44" s="77"/>
      <c r="BV44" s="77"/>
      <c r="BW44" s="77"/>
      <c r="BX44" s="77"/>
      <c r="BY44" s="77"/>
      <c r="BZ44" s="77"/>
      <c r="CA44" s="77"/>
      <c r="CB44" s="77"/>
    </row>
    <row r="45" spans="1:80" ht="15.75" thickBot="1" x14ac:dyDescent="0.3">
      <c r="A45" s="77"/>
      <c r="B45" s="310"/>
      <c r="C45" s="310"/>
      <c r="D45" s="311"/>
      <c r="E45" s="354"/>
      <c r="F45" s="355"/>
      <c r="G45" s="355"/>
      <c r="H45" s="355"/>
      <c r="I45" s="356"/>
      <c r="J45" s="391"/>
      <c r="K45" s="392"/>
      <c r="L45" s="392"/>
      <c r="M45" s="392"/>
      <c r="N45" s="392"/>
      <c r="O45" s="393"/>
      <c r="P45" s="391"/>
      <c r="Q45" s="392"/>
      <c r="R45" s="392"/>
      <c r="S45" s="392"/>
      <c r="T45" s="392"/>
      <c r="U45" s="393"/>
      <c r="V45" s="382"/>
      <c r="W45" s="383"/>
      <c r="X45" s="383"/>
      <c r="Y45" s="383"/>
      <c r="Z45" s="383"/>
      <c r="AA45" s="384"/>
      <c r="AB45" s="367"/>
      <c r="AC45" s="368"/>
      <c r="AD45" s="368"/>
      <c r="AE45" s="368"/>
      <c r="AF45" s="368"/>
      <c r="AG45" s="369"/>
      <c r="AH45" s="373"/>
      <c r="AI45" s="374"/>
      <c r="AJ45" s="374"/>
      <c r="AK45" s="374"/>
      <c r="AL45" s="374"/>
      <c r="AM45" s="375"/>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7"/>
      <c r="BR45" s="77"/>
      <c r="BS45" s="77"/>
      <c r="BT45" s="77"/>
      <c r="BU45" s="77"/>
      <c r="BV45" s="77"/>
      <c r="BW45" s="77"/>
      <c r="BX45" s="77"/>
      <c r="BY45" s="77"/>
      <c r="BZ45" s="77"/>
      <c r="CA45" s="77"/>
      <c r="CB45" s="77"/>
    </row>
    <row r="46" spans="1:80" x14ac:dyDescent="0.25">
      <c r="A46" s="77"/>
      <c r="B46" s="77"/>
      <c r="C46" s="77"/>
      <c r="D46" s="77"/>
      <c r="E46" s="77"/>
      <c r="F46" s="77"/>
      <c r="G46" s="77"/>
      <c r="H46" s="77"/>
      <c r="I46" s="77"/>
      <c r="J46" s="348" t="s">
        <v>93</v>
      </c>
      <c r="K46" s="349"/>
      <c r="L46" s="349"/>
      <c r="M46" s="349"/>
      <c r="N46" s="349"/>
      <c r="O46" s="350"/>
      <c r="P46" s="348" t="s">
        <v>92</v>
      </c>
      <c r="Q46" s="349"/>
      <c r="R46" s="349"/>
      <c r="S46" s="349"/>
      <c r="T46" s="349"/>
      <c r="U46" s="350"/>
      <c r="V46" s="348" t="s">
        <v>91</v>
      </c>
      <c r="W46" s="349"/>
      <c r="X46" s="349"/>
      <c r="Y46" s="349"/>
      <c r="Z46" s="349"/>
      <c r="AA46" s="350"/>
      <c r="AB46" s="348" t="s">
        <v>90</v>
      </c>
      <c r="AC46" s="366"/>
      <c r="AD46" s="349"/>
      <c r="AE46" s="349"/>
      <c r="AF46" s="349"/>
      <c r="AG46" s="350"/>
      <c r="AH46" s="348" t="s">
        <v>89</v>
      </c>
      <c r="AI46" s="349"/>
      <c r="AJ46" s="349"/>
      <c r="AK46" s="349"/>
      <c r="AL46" s="349"/>
      <c r="AM46" s="350"/>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7"/>
      <c r="BR46" s="77"/>
      <c r="BS46" s="77"/>
      <c r="BT46" s="77"/>
      <c r="BU46" s="77"/>
      <c r="BV46" s="77"/>
      <c r="BW46" s="77"/>
      <c r="BX46" s="77"/>
      <c r="BY46" s="77"/>
      <c r="BZ46" s="77"/>
      <c r="CA46" s="77"/>
      <c r="CB46" s="77"/>
    </row>
    <row r="47" spans="1:80" x14ac:dyDescent="0.25">
      <c r="A47" s="77"/>
      <c r="B47" s="77"/>
      <c r="C47" s="77"/>
      <c r="D47" s="77"/>
      <c r="E47" s="77"/>
      <c r="F47" s="77"/>
      <c r="G47" s="77"/>
      <c r="H47" s="77"/>
      <c r="I47" s="77"/>
      <c r="J47" s="351"/>
      <c r="K47" s="352"/>
      <c r="L47" s="352"/>
      <c r="M47" s="352"/>
      <c r="N47" s="352"/>
      <c r="O47" s="353"/>
      <c r="P47" s="351"/>
      <c r="Q47" s="352"/>
      <c r="R47" s="352"/>
      <c r="S47" s="352"/>
      <c r="T47" s="352"/>
      <c r="U47" s="353"/>
      <c r="V47" s="351"/>
      <c r="W47" s="352"/>
      <c r="X47" s="352"/>
      <c r="Y47" s="352"/>
      <c r="Z47" s="352"/>
      <c r="AA47" s="353"/>
      <c r="AB47" s="351"/>
      <c r="AC47" s="352"/>
      <c r="AD47" s="352"/>
      <c r="AE47" s="352"/>
      <c r="AF47" s="352"/>
      <c r="AG47" s="353"/>
      <c r="AH47" s="351"/>
      <c r="AI47" s="352"/>
      <c r="AJ47" s="352"/>
      <c r="AK47" s="352"/>
      <c r="AL47" s="352"/>
      <c r="AM47" s="353"/>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77"/>
      <c r="BS47" s="77"/>
      <c r="BT47" s="77"/>
      <c r="BU47" s="77"/>
      <c r="BV47" s="77"/>
      <c r="BW47" s="77"/>
      <c r="BX47" s="77"/>
      <c r="BY47" s="77"/>
      <c r="BZ47" s="77"/>
      <c r="CA47" s="77"/>
      <c r="CB47" s="77"/>
    </row>
    <row r="48" spans="1:80" x14ac:dyDescent="0.25">
      <c r="A48" s="77"/>
      <c r="B48" s="77"/>
      <c r="C48" s="77"/>
      <c r="D48" s="77"/>
      <c r="E48" s="77"/>
      <c r="F48" s="77"/>
      <c r="G48" s="77"/>
      <c r="H48" s="77"/>
      <c r="I48" s="77"/>
      <c r="J48" s="351"/>
      <c r="K48" s="352"/>
      <c r="L48" s="352"/>
      <c r="M48" s="352"/>
      <c r="N48" s="352"/>
      <c r="O48" s="353"/>
      <c r="P48" s="351"/>
      <c r="Q48" s="352"/>
      <c r="R48" s="352"/>
      <c r="S48" s="352"/>
      <c r="T48" s="352"/>
      <c r="U48" s="353"/>
      <c r="V48" s="351"/>
      <c r="W48" s="352"/>
      <c r="X48" s="352"/>
      <c r="Y48" s="352"/>
      <c r="Z48" s="352"/>
      <c r="AA48" s="353"/>
      <c r="AB48" s="351"/>
      <c r="AC48" s="352"/>
      <c r="AD48" s="352"/>
      <c r="AE48" s="352"/>
      <c r="AF48" s="352"/>
      <c r="AG48" s="353"/>
      <c r="AH48" s="351"/>
      <c r="AI48" s="352"/>
      <c r="AJ48" s="352"/>
      <c r="AK48" s="352"/>
      <c r="AL48" s="352"/>
      <c r="AM48" s="353"/>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77"/>
      <c r="BS48" s="77"/>
      <c r="BT48" s="77"/>
      <c r="BU48" s="77"/>
      <c r="BV48" s="77"/>
      <c r="BW48" s="77"/>
      <c r="BX48" s="77"/>
      <c r="BY48" s="77"/>
      <c r="BZ48" s="77"/>
      <c r="CA48" s="77"/>
      <c r="CB48" s="77"/>
    </row>
    <row r="49" spans="1:80" x14ac:dyDescent="0.25">
      <c r="A49" s="77"/>
      <c r="B49" s="77"/>
      <c r="C49" s="77"/>
      <c r="D49" s="77"/>
      <c r="E49" s="77"/>
      <c r="F49" s="77"/>
      <c r="G49" s="77"/>
      <c r="H49" s="77"/>
      <c r="I49" s="77"/>
      <c r="J49" s="351"/>
      <c r="K49" s="352"/>
      <c r="L49" s="352"/>
      <c r="M49" s="352"/>
      <c r="N49" s="352"/>
      <c r="O49" s="353"/>
      <c r="P49" s="351"/>
      <c r="Q49" s="352"/>
      <c r="R49" s="352"/>
      <c r="S49" s="352"/>
      <c r="T49" s="352"/>
      <c r="U49" s="353"/>
      <c r="V49" s="351"/>
      <c r="W49" s="352"/>
      <c r="X49" s="352"/>
      <c r="Y49" s="352"/>
      <c r="Z49" s="352"/>
      <c r="AA49" s="353"/>
      <c r="AB49" s="351"/>
      <c r="AC49" s="352"/>
      <c r="AD49" s="352"/>
      <c r="AE49" s="352"/>
      <c r="AF49" s="352"/>
      <c r="AG49" s="353"/>
      <c r="AH49" s="351"/>
      <c r="AI49" s="352"/>
      <c r="AJ49" s="352"/>
      <c r="AK49" s="352"/>
      <c r="AL49" s="352"/>
      <c r="AM49" s="353"/>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7"/>
      <c r="BX49" s="77"/>
      <c r="BY49" s="77"/>
      <c r="BZ49" s="77"/>
      <c r="CA49" s="77"/>
      <c r="CB49" s="77"/>
    </row>
    <row r="50" spans="1:80" x14ac:dyDescent="0.25">
      <c r="A50" s="77"/>
      <c r="B50" s="77"/>
      <c r="C50" s="77"/>
      <c r="D50" s="77"/>
      <c r="E50" s="77"/>
      <c r="F50" s="77"/>
      <c r="G50" s="77"/>
      <c r="H50" s="77"/>
      <c r="I50" s="77"/>
      <c r="J50" s="351"/>
      <c r="K50" s="352"/>
      <c r="L50" s="352"/>
      <c r="M50" s="352"/>
      <c r="N50" s="352"/>
      <c r="O50" s="353"/>
      <c r="P50" s="351"/>
      <c r="Q50" s="352"/>
      <c r="R50" s="352"/>
      <c r="S50" s="352"/>
      <c r="T50" s="352"/>
      <c r="U50" s="353"/>
      <c r="V50" s="351"/>
      <c r="W50" s="352"/>
      <c r="X50" s="352"/>
      <c r="Y50" s="352"/>
      <c r="Z50" s="352"/>
      <c r="AA50" s="353"/>
      <c r="AB50" s="351"/>
      <c r="AC50" s="352"/>
      <c r="AD50" s="352"/>
      <c r="AE50" s="352"/>
      <c r="AF50" s="352"/>
      <c r="AG50" s="353"/>
      <c r="AH50" s="351"/>
      <c r="AI50" s="352"/>
      <c r="AJ50" s="352"/>
      <c r="AK50" s="352"/>
      <c r="AL50" s="352"/>
      <c r="AM50" s="353"/>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7"/>
      <c r="BR50" s="77"/>
      <c r="BS50" s="77"/>
      <c r="BT50" s="77"/>
      <c r="BU50" s="77"/>
      <c r="BV50" s="77"/>
      <c r="BW50" s="77"/>
      <c r="BX50" s="77"/>
      <c r="BY50" s="77"/>
      <c r="BZ50" s="77"/>
      <c r="CA50" s="77"/>
      <c r="CB50" s="77"/>
    </row>
    <row r="51" spans="1:80" ht="15.75" thickBot="1" x14ac:dyDescent="0.3">
      <c r="A51" s="77"/>
      <c r="B51" s="77"/>
      <c r="C51" s="77"/>
      <c r="D51" s="77"/>
      <c r="E51" s="77"/>
      <c r="F51" s="77"/>
      <c r="G51" s="77"/>
      <c r="H51" s="77"/>
      <c r="I51" s="77"/>
      <c r="J51" s="354"/>
      <c r="K51" s="355"/>
      <c r="L51" s="355"/>
      <c r="M51" s="355"/>
      <c r="N51" s="355"/>
      <c r="O51" s="356"/>
      <c r="P51" s="354"/>
      <c r="Q51" s="355"/>
      <c r="R51" s="355"/>
      <c r="S51" s="355"/>
      <c r="T51" s="355"/>
      <c r="U51" s="356"/>
      <c r="V51" s="354"/>
      <c r="W51" s="355"/>
      <c r="X51" s="355"/>
      <c r="Y51" s="355"/>
      <c r="Z51" s="355"/>
      <c r="AA51" s="356"/>
      <c r="AB51" s="354"/>
      <c r="AC51" s="355"/>
      <c r="AD51" s="355"/>
      <c r="AE51" s="355"/>
      <c r="AF51" s="355"/>
      <c r="AG51" s="356"/>
      <c r="AH51" s="354"/>
      <c r="AI51" s="355"/>
      <c r="AJ51" s="355"/>
      <c r="AK51" s="355"/>
      <c r="AL51" s="355"/>
      <c r="AM51" s="356"/>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7"/>
      <c r="BR51" s="77"/>
      <c r="BS51" s="77"/>
      <c r="BT51" s="77"/>
      <c r="BU51" s="77"/>
      <c r="BV51" s="77"/>
      <c r="BW51" s="77"/>
      <c r="BX51" s="77"/>
      <c r="BY51" s="77"/>
      <c r="BZ51" s="77"/>
      <c r="CA51" s="77"/>
      <c r="CB51" s="77"/>
    </row>
    <row r="52" spans="1:80" x14ac:dyDescent="0.25">
      <c r="A52" s="77"/>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7"/>
      <c r="BR52" s="77"/>
      <c r="BS52" s="77"/>
      <c r="BT52" s="77"/>
      <c r="BU52" s="77"/>
      <c r="BV52" s="77"/>
      <c r="BW52" s="77"/>
      <c r="BX52" s="77"/>
      <c r="BY52" s="77"/>
      <c r="BZ52" s="77"/>
      <c r="CA52" s="77"/>
      <c r="CB52" s="77"/>
    </row>
    <row r="53" spans="1:80" ht="15" customHeight="1" x14ac:dyDescent="0.25">
      <c r="A53" s="77"/>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77"/>
      <c r="AV53" s="77"/>
      <c r="AW53" s="77"/>
      <c r="AX53" s="77"/>
      <c r="AY53" s="77"/>
      <c r="AZ53" s="77"/>
      <c r="BA53" s="77"/>
      <c r="BB53" s="77"/>
      <c r="BC53" s="77"/>
      <c r="BD53" s="77"/>
      <c r="BE53" s="77"/>
      <c r="BF53" s="77"/>
      <c r="BG53" s="77"/>
      <c r="BH53" s="77"/>
      <c r="BI53" s="77"/>
      <c r="BJ53" s="77"/>
      <c r="BK53" s="77"/>
      <c r="BL53" s="77"/>
      <c r="BM53" s="77"/>
      <c r="BN53" s="77"/>
      <c r="BO53" s="77"/>
      <c r="BP53" s="77"/>
      <c r="BQ53" s="77"/>
      <c r="BR53" s="77"/>
      <c r="BS53" s="77"/>
      <c r="BT53" s="77"/>
      <c r="BU53" s="77"/>
      <c r="BV53" s="77"/>
      <c r="BW53" s="77"/>
      <c r="BX53" s="77"/>
      <c r="BY53" s="77"/>
      <c r="BZ53" s="77"/>
      <c r="CA53" s="77"/>
      <c r="CB53" s="77"/>
    </row>
    <row r="54" spans="1:80" ht="15" customHeight="1" x14ac:dyDescent="0.25">
      <c r="A54" s="77"/>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7"/>
      <c r="BS54" s="77"/>
      <c r="BT54" s="77"/>
      <c r="BU54" s="77"/>
      <c r="BV54" s="77"/>
      <c r="BW54" s="77"/>
      <c r="BX54" s="77"/>
      <c r="BY54" s="77"/>
      <c r="BZ54" s="77"/>
      <c r="CA54" s="77"/>
      <c r="CB54" s="77"/>
    </row>
    <row r="55" spans="1:80" x14ac:dyDescent="0.25">
      <c r="A55" s="77"/>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7"/>
      <c r="BS55" s="77"/>
      <c r="BT55" s="77"/>
      <c r="BU55" s="77"/>
      <c r="BV55" s="77"/>
      <c r="BW55" s="77"/>
      <c r="BX55" s="77"/>
      <c r="BY55" s="77"/>
      <c r="BZ55" s="77"/>
      <c r="CA55" s="77"/>
      <c r="CB55" s="77"/>
    </row>
    <row r="56" spans="1:80" x14ac:dyDescent="0.25">
      <c r="A56" s="77"/>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7"/>
      <c r="BS56" s="77"/>
      <c r="BT56" s="77"/>
      <c r="BU56" s="77"/>
      <c r="BV56" s="77"/>
      <c r="BW56" s="77"/>
      <c r="BX56" s="77"/>
      <c r="BY56" s="77"/>
      <c r="BZ56" s="77"/>
      <c r="CA56" s="77"/>
      <c r="CB56" s="77"/>
    </row>
    <row r="57" spans="1:80" x14ac:dyDescent="0.25">
      <c r="A57" s="77"/>
      <c r="B57" s="77"/>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77"/>
      <c r="BD57" s="77"/>
      <c r="BE57" s="77"/>
      <c r="BF57" s="77"/>
      <c r="BG57" s="77"/>
      <c r="BH57" s="77"/>
      <c r="BI57" s="77"/>
      <c r="BJ57" s="77"/>
      <c r="BK57" s="77"/>
      <c r="BL57" s="77"/>
      <c r="BM57" s="77"/>
      <c r="BN57" s="77"/>
      <c r="BO57" s="77"/>
      <c r="BP57" s="77"/>
      <c r="BQ57" s="77"/>
      <c r="BR57" s="77"/>
      <c r="BS57" s="77"/>
      <c r="BT57" s="77"/>
      <c r="BU57" s="77"/>
      <c r="BV57" s="77"/>
      <c r="BW57" s="77"/>
      <c r="BX57" s="77"/>
      <c r="BY57" s="77"/>
      <c r="BZ57" s="77"/>
      <c r="CA57" s="77"/>
      <c r="CB57" s="77"/>
    </row>
    <row r="58" spans="1:80" x14ac:dyDescent="0.25">
      <c r="A58" s="77"/>
      <c r="B58" s="77"/>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77"/>
      <c r="BD58" s="77"/>
      <c r="BE58" s="77"/>
      <c r="BF58" s="77"/>
      <c r="BG58" s="77"/>
      <c r="BH58" s="77"/>
      <c r="BI58" s="77"/>
      <c r="BJ58" s="77"/>
      <c r="BK58" s="77"/>
      <c r="BL58" s="77"/>
      <c r="BM58" s="77"/>
      <c r="BN58" s="77"/>
      <c r="BO58" s="77"/>
      <c r="BP58" s="77"/>
      <c r="BQ58" s="77"/>
      <c r="BR58" s="77"/>
      <c r="BS58" s="77"/>
      <c r="BT58" s="77"/>
      <c r="BU58" s="77"/>
      <c r="BV58" s="77"/>
      <c r="BW58" s="77"/>
      <c r="BX58" s="77"/>
      <c r="BY58" s="77"/>
      <c r="BZ58" s="77"/>
      <c r="CA58" s="77"/>
      <c r="CB58" s="77"/>
    </row>
    <row r="59" spans="1:80" x14ac:dyDescent="0.25">
      <c r="A59" s="77"/>
      <c r="B59" s="77"/>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77"/>
      <c r="BD59" s="77"/>
      <c r="BE59" s="77"/>
      <c r="BF59" s="77"/>
      <c r="BG59" s="77"/>
      <c r="BH59" s="77"/>
      <c r="BI59" s="77"/>
      <c r="BJ59" s="77"/>
      <c r="BK59" s="77"/>
      <c r="BL59" s="77"/>
      <c r="BM59" s="77"/>
      <c r="BN59" s="77"/>
      <c r="BO59" s="77"/>
      <c r="BP59" s="77"/>
      <c r="BQ59" s="77"/>
      <c r="BR59" s="77"/>
      <c r="BS59" s="77"/>
      <c r="BT59" s="77"/>
      <c r="BU59" s="77"/>
      <c r="BV59" s="77"/>
      <c r="BW59" s="77"/>
      <c r="BX59" s="77"/>
      <c r="BY59" s="77"/>
      <c r="BZ59" s="77"/>
      <c r="CA59" s="77"/>
      <c r="CB59" s="77"/>
    </row>
    <row r="60" spans="1:80" x14ac:dyDescent="0.25">
      <c r="A60" s="77"/>
      <c r="B60" s="77"/>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77"/>
      <c r="BD60" s="77"/>
      <c r="BE60" s="77"/>
      <c r="BF60" s="77"/>
      <c r="BG60" s="77"/>
      <c r="BH60" s="77"/>
      <c r="BI60" s="77"/>
      <c r="BJ60" s="77"/>
      <c r="BK60" s="77"/>
      <c r="BL60" s="77"/>
      <c r="BM60" s="77"/>
      <c r="BN60" s="77"/>
      <c r="BO60" s="77"/>
      <c r="BP60" s="77"/>
      <c r="BQ60" s="77"/>
      <c r="BR60" s="77"/>
      <c r="BS60" s="77"/>
      <c r="BT60" s="77"/>
      <c r="BU60" s="77"/>
      <c r="BV60" s="77"/>
      <c r="BW60" s="77"/>
      <c r="BX60" s="77"/>
      <c r="BY60" s="77"/>
      <c r="BZ60" s="77"/>
      <c r="CA60" s="77"/>
      <c r="CB60" s="77"/>
    </row>
    <row r="61" spans="1:80" x14ac:dyDescent="0.25">
      <c r="A61" s="77"/>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c r="BQ61" s="77"/>
      <c r="BR61" s="77"/>
      <c r="BS61" s="77"/>
      <c r="BT61" s="77"/>
      <c r="BU61" s="77"/>
      <c r="BV61" s="77"/>
      <c r="BW61" s="77"/>
      <c r="BX61" s="77"/>
      <c r="BY61" s="77"/>
      <c r="BZ61" s="77"/>
      <c r="CA61" s="77"/>
      <c r="CB61" s="77"/>
    </row>
    <row r="62" spans="1:80" x14ac:dyDescent="0.25">
      <c r="A62" s="77"/>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c r="BD62" s="77"/>
      <c r="BE62" s="77"/>
      <c r="BF62" s="77"/>
      <c r="BG62" s="77"/>
      <c r="BH62" s="77"/>
      <c r="BI62" s="77"/>
      <c r="BJ62" s="77"/>
      <c r="BK62" s="77"/>
      <c r="BL62" s="77"/>
      <c r="BM62" s="77"/>
      <c r="BN62" s="77"/>
      <c r="BO62" s="77"/>
      <c r="BP62" s="77"/>
      <c r="BQ62" s="77"/>
      <c r="BR62" s="77"/>
      <c r="BS62" s="77"/>
      <c r="BT62" s="77"/>
      <c r="BU62" s="77"/>
      <c r="BV62" s="77"/>
      <c r="BW62" s="77"/>
      <c r="BX62" s="77"/>
      <c r="BY62" s="77"/>
      <c r="BZ62" s="77"/>
      <c r="CA62" s="77"/>
      <c r="CB62" s="77"/>
    </row>
    <row r="63" spans="1:80" x14ac:dyDescent="0.25">
      <c r="A63" s="77"/>
      <c r="B63" s="77"/>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7"/>
      <c r="BR63" s="77"/>
      <c r="BS63" s="77"/>
      <c r="BT63" s="77"/>
      <c r="BU63" s="77"/>
      <c r="BV63" s="77"/>
      <c r="BW63" s="77"/>
      <c r="BX63" s="77"/>
      <c r="BY63" s="77"/>
      <c r="BZ63" s="77"/>
      <c r="CA63" s="77"/>
      <c r="CB63" s="77"/>
    </row>
    <row r="64" spans="1:80" x14ac:dyDescent="0.25">
      <c r="A64" s="77"/>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7"/>
      <c r="BB64" s="77"/>
      <c r="BC64" s="77"/>
      <c r="BD64" s="77"/>
      <c r="BE64" s="77"/>
      <c r="BF64" s="77"/>
      <c r="BG64" s="77"/>
      <c r="BH64" s="77"/>
      <c r="BI64" s="77"/>
      <c r="BJ64" s="77"/>
      <c r="BK64" s="77"/>
      <c r="BL64" s="77"/>
      <c r="BM64" s="77"/>
      <c r="BN64" s="77"/>
      <c r="BO64" s="77"/>
      <c r="BP64" s="77"/>
      <c r="BQ64" s="77"/>
      <c r="BR64" s="77"/>
      <c r="BS64" s="77"/>
      <c r="BT64" s="77"/>
      <c r="BU64" s="77"/>
      <c r="BV64" s="77"/>
      <c r="BW64" s="77"/>
      <c r="BX64" s="77"/>
      <c r="BY64" s="77"/>
      <c r="BZ64" s="77"/>
      <c r="CA64" s="77"/>
      <c r="CB64" s="77"/>
    </row>
    <row r="65" spans="1:80" x14ac:dyDescent="0.25">
      <c r="A65" s="77"/>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7"/>
      <c r="BD65" s="77"/>
      <c r="BE65" s="77"/>
      <c r="BF65" s="77"/>
      <c r="BG65" s="77"/>
      <c r="BH65" s="77"/>
      <c r="BI65" s="77"/>
      <c r="BJ65" s="77"/>
      <c r="BK65" s="77"/>
      <c r="BL65" s="77"/>
      <c r="BM65" s="77"/>
      <c r="BN65" s="77"/>
      <c r="BO65" s="77"/>
      <c r="BP65" s="77"/>
      <c r="BQ65" s="77"/>
      <c r="BR65" s="77"/>
      <c r="BS65" s="77"/>
      <c r="BT65" s="77"/>
      <c r="BU65" s="77"/>
      <c r="BV65" s="77"/>
      <c r="BW65" s="77"/>
      <c r="BX65" s="77"/>
      <c r="BY65" s="77"/>
      <c r="BZ65" s="77"/>
      <c r="CA65" s="77"/>
      <c r="CB65" s="77"/>
    </row>
    <row r="66" spans="1:80" x14ac:dyDescent="0.25">
      <c r="A66" s="77"/>
      <c r="B66" s="77"/>
      <c r="C66" s="77"/>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7"/>
      <c r="AY66" s="77"/>
      <c r="AZ66" s="77"/>
      <c r="BA66" s="77"/>
      <c r="BB66" s="77"/>
      <c r="BC66" s="77"/>
      <c r="BD66" s="77"/>
      <c r="BE66" s="77"/>
      <c r="BF66" s="77"/>
      <c r="BG66" s="77"/>
      <c r="BH66" s="77"/>
      <c r="BI66" s="77"/>
      <c r="BJ66" s="77"/>
      <c r="BK66" s="77"/>
      <c r="BL66" s="77"/>
      <c r="BM66" s="77"/>
      <c r="BN66" s="77"/>
      <c r="BO66" s="77"/>
      <c r="BP66" s="77"/>
      <c r="BQ66" s="77"/>
      <c r="BR66" s="77"/>
      <c r="BS66" s="77"/>
      <c r="BT66" s="77"/>
      <c r="BU66" s="77"/>
      <c r="BV66" s="77"/>
      <c r="BW66" s="77"/>
      <c r="BX66" s="77"/>
      <c r="BY66" s="77"/>
      <c r="BZ66" s="77"/>
      <c r="CA66" s="77"/>
      <c r="CB66" s="77"/>
    </row>
    <row r="67" spans="1:80" x14ac:dyDescent="0.25">
      <c r="A67" s="77"/>
      <c r="B67" s="77"/>
      <c r="C67" s="77"/>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7"/>
      <c r="AZ67" s="77"/>
      <c r="BA67" s="77"/>
      <c r="BB67" s="77"/>
      <c r="BC67" s="77"/>
      <c r="BD67" s="77"/>
      <c r="BE67" s="77"/>
      <c r="BF67" s="77"/>
      <c r="BG67" s="77"/>
      <c r="BH67" s="77"/>
      <c r="BI67" s="77"/>
      <c r="BJ67" s="77"/>
      <c r="BK67" s="77"/>
      <c r="BL67" s="77"/>
      <c r="BM67" s="77"/>
      <c r="BN67" s="77"/>
      <c r="BO67" s="77"/>
      <c r="BP67" s="77"/>
      <c r="BQ67" s="77"/>
      <c r="BR67" s="77"/>
      <c r="BS67" s="77"/>
      <c r="BT67" s="77"/>
      <c r="BU67" s="77"/>
      <c r="BV67" s="77"/>
      <c r="BW67" s="77"/>
      <c r="BX67" s="77"/>
      <c r="BY67" s="77"/>
      <c r="BZ67" s="77"/>
      <c r="CA67" s="77"/>
      <c r="CB67" s="77"/>
    </row>
    <row r="68" spans="1:80" x14ac:dyDescent="0.25">
      <c r="A68" s="77"/>
      <c r="B68" s="77"/>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7"/>
      <c r="AX68" s="77"/>
      <c r="AY68" s="77"/>
      <c r="AZ68" s="77"/>
      <c r="BA68" s="77"/>
      <c r="BB68" s="77"/>
      <c r="BC68" s="77"/>
      <c r="BD68" s="77"/>
      <c r="BE68" s="77"/>
      <c r="BF68" s="77"/>
      <c r="BG68" s="77"/>
      <c r="BH68" s="77"/>
      <c r="BI68" s="77"/>
      <c r="BJ68" s="77"/>
      <c r="BK68" s="77"/>
      <c r="BL68" s="77"/>
      <c r="BM68" s="77"/>
      <c r="BN68" s="77"/>
      <c r="BO68" s="77"/>
      <c r="BP68" s="77"/>
      <c r="BQ68" s="77"/>
      <c r="BR68" s="77"/>
      <c r="BS68" s="77"/>
      <c r="BT68" s="77"/>
      <c r="BU68" s="77"/>
      <c r="BV68" s="77"/>
      <c r="BW68" s="77"/>
      <c r="BX68" s="77"/>
      <c r="BY68" s="77"/>
      <c r="BZ68" s="77"/>
      <c r="CA68" s="77"/>
      <c r="CB68" s="77"/>
    </row>
    <row r="69" spans="1:80" x14ac:dyDescent="0.25">
      <c r="A69" s="77"/>
      <c r="B69" s="77"/>
      <c r="C69" s="77"/>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c r="AS69" s="77"/>
      <c r="AT69" s="77"/>
      <c r="AU69" s="77"/>
      <c r="AV69" s="77"/>
      <c r="AW69" s="77"/>
      <c r="AX69" s="77"/>
      <c r="AY69" s="77"/>
      <c r="AZ69" s="77"/>
      <c r="BA69" s="77"/>
      <c r="BB69" s="77"/>
      <c r="BC69" s="77"/>
      <c r="BD69" s="77"/>
      <c r="BE69" s="77"/>
      <c r="BF69" s="77"/>
      <c r="BG69" s="77"/>
      <c r="BH69" s="77"/>
      <c r="BI69" s="77"/>
      <c r="BJ69" s="77"/>
      <c r="BK69" s="77"/>
      <c r="BL69" s="77"/>
      <c r="BM69" s="77"/>
      <c r="BN69" s="77"/>
      <c r="BO69" s="77"/>
      <c r="BP69" s="77"/>
      <c r="BQ69" s="77"/>
      <c r="BR69" s="77"/>
      <c r="BS69" s="77"/>
      <c r="BT69" s="77"/>
      <c r="BU69" s="77"/>
      <c r="BV69" s="77"/>
      <c r="BW69" s="77"/>
      <c r="BX69" s="77"/>
      <c r="BY69" s="77"/>
      <c r="BZ69" s="77"/>
      <c r="CA69" s="77"/>
      <c r="CB69" s="77"/>
    </row>
    <row r="70" spans="1:80" x14ac:dyDescent="0.25">
      <c r="A70" s="77"/>
      <c r="B70" s="77"/>
      <c r="C70" s="77"/>
      <c r="D70" s="77"/>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77"/>
      <c r="AQ70" s="77"/>
      <c r="AR70" s="77"/>
      <c r="AS70" s="77"/>
      <c r="AT70" s="77"/>
      <c r="AU70" s="77"/>
      <c r="AV70" s="77"/>
      <c r="AW70" s="77"/>
      <c r="AX70" s="77"/>
      <c r="AY70" s="77"/>
      <c r="AZ70" s="77"/>
      <c r="BA70" s="77"/>
      <c r="BB70" s="77"/>
      <c r="BC70" s="77"/>
      <c r="BD70" s="77"/>
      <c r="BE70" s="77"/>
      <c r="BF70" s="77"/>
      <c r="BG70" s="77"/>
      <c r="BH70" s="77"/>
      <c r="BI70" s="77"/>
      <c r="BJ70" s="77"/>
      <c r="BK70" s="77"/>
      <c r="BL70" s="77"/>
      <c r="BM70" s="77"/>
      <c r="BN70" s="77"/>
      <c r="BO70" s="77"/>
      <c r="BP70" s="77"/>
      <c r="BQ70" s="77"/>
      <c r="BR70" s="77"/>
      <c r="BS70" s="77"/>
      <c r="BT70" s="77"/>
      <c r="BU70" s="77"/>
      <c r="BV70" s="77"/>
      <c r="BW70" s="77"/>
      <c r="BX70" s="77"/>
      <c r="BY70" s="77"/>
      <c r="BZ70" s="77"/>
      <c r="CA70" s="77"/>
      <c r="CB70" s="77"/>
    </row>
    <row r="71" spans="1:80" x14ac:dyDescent="0.25">
      <c r="A71" s="77"/>
      <c r="B71" s="77"/>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c r="AS71" s="77"/>
      <c r="AT71" s="77"/>
      <c r="AU71" s="77"/>
      <c r="AV71" s="77"/>
      <c r="AW71" s="77"/>
      <c r="AX71" s="77"/>
      <c r="AY71" s="77"/>
      <c r="AZ71" s="77"/>
      <c r="BA71" s="77"/>
      <c r="BB71" s="77"/>
      <c r="BC71" s="77"/>
      <c r="BD71" s="77"/>
      <c r="BE71" s="77"/>
      <c r="BF71" s="77"/>
      <c r="BG71" s="77"/>
      <c r="BH71" s="77"/>
      <c r="BI71" s="77"/>
      <c r="BJ71" s="77"/>
      <c r="BK71" s="77"/>
      <c r="BL71" s="77"/>
      <c r="BM71" s="77"/>
      <c r="BN71" s="77"/>
      <c r="BO71" s="77"/>
      <c r="BP71" s="77"/>
      <c r="BQ71" s="77"/>
      <c r="BR71" s="77"/>
      <c r="BS71" s="77"/>
      <c r="BT71" s="77"/>
      <c r="BU71" s="77"/>
      <c r="BV71" s="77"/>
      <c r="BW71" s="77"/>
      <c r="BX71" s="77"/>
      <c r="BY71" s="77"/>
      <c r="BZ71" s="77"/>
      <c r="CA71" s="77"/>
      <c r="CB71" s="77"/>
    </row>
    <row r="72" spans="1:80" x14ac:dyDescent="0.25">
      <c r="A72" s="77"/>
      <c r="B72" s="77"/>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c r="AS72" s="77"/>
      <c r="AT72" s="77"/>
      <c r="AU72" s="77"/>
      <c r="AV72" s="77"/>
      <c r="AW72" s="77"/>
      <c r="AX72" s="77"/>
      <c r="AY72" s="77"/>
      <c r="AZ72" s="77"/>
      <c r="BA72" s="77"/>
      <c r="BB72" s="77"/>
      <c r="BC72" s="77"/>
      <c r="BD72" s="77"/>
      <c r="BE72" s="77"/>
      <c r="BF72" s="77"/>
      <c r="BG72" s="77"/>
      <c r="BH72" s="77"/>
      <c r="BI72" s="77"/>
      <c r="BJ72" s="77"/>
      <c r="BK72" s="77"/>
      <c r="BL72" s="77"/>
      <c r="BM72" s="77"/>
      <c r="BN72" s="77"/>
      <c r="BO72" s="77"/>
      <c r="BP72" s="77"/>
      <c r="BQ72" s="77"/>
      <c r="BR72" s="77"/>
      <c r="BS72" s="77"/>
      <c r="BT72" s="77"/>
      <c r="BU72" s="77"/>
      <c r="BV72" s="77"/>
      <c r="BW72" s="77"/>
      <c r="BX72" s="77"/>
      <c r="BY72" s="77"/>
      <c r="BZ72" s="77"/>
      <c r="CA72" s="77"/>
      <c r="CB72" s="77"/>
    </row>
    <row r="73" spans="1:80" x14ac:dyDescent="0.25">
      <c r="A73" s="77"/>
      <c r="B73" s="77"/>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c r="AV73" s="77"/>
      <c r="AW73" s="77"/>
      <c r="AX73" s="77"/>
      <c r="AY73" s="77"/>
      <c r="AZ73" s="77"/>
      <c r="BA73" s="77"/>
      <c r="BB73" s="77"/>
      <c r="BC73" s="77"/>
      <c r="BD73" s="77"/>
      <c r="BE73" s="77"/>
      <c r="BF73" s="77"/>
      <c r="BG73" s="77"/>
      <c r="BH73" s="77"/>
      <c r="BI73" s="77"/>
      <c r="BJ73" s="77"/>
      <c r="BK73" s="77"/>
      <c r="BL73" s="77"/>
      <c r="BM73" s="77"/>
      <c r="BN73" s="77"/>
      <c r="BO73" s="77"/>
      <c r="BP73" s="77"/>
      <c r="BQ73" s="77"/>
      <c r="BR73" s="77"/>
      <c r="BS73" s="77"/>
      <c r="BT73" s="77"/>
      <c r="BU73" s="77"/>
      <c r="BV73" s="77"/>
      <c r="BW73" s="77"/>
      <c r="BX73" s="77"/>
      <c r="BY73" s="77"/>
      <c r="BZ73" s="77"/>
      <c r="CA73" s="77"/>
      <c r="CB73" s="77"/>
    </row>
    <row r="74" spans="1:80" x14ac:dyDescent="0.25">
      <c r="A74" s="77"/>
      <c r="B74" s="77"/>
      <c r="C74" s="77"/>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7"/>
      <c r="AV74" s="77"/>
      <c r="AW74" s="77"/>
      <c r="AX74" s="77"/>
      <c r="AY74" s="77"/>
      <c r="AZ74" s="77"/>
      <c r="BA74" s="77"/>
      <c r="BB74" s="77"/>
      <c r="BC74" s="77"/>
      <c r="BD74" s="77"/>
      <c r="BE74" s="77"/>
      <c r="BF74" s="77"/>
      <c r="BG74" s="77"/>
      <c r="BH74" s="77"/>
      <c r="BI74" s="77"/>
      <c r="BJ74" s="77"/>
      <c r="BK74" s="77"/>
      <c r="BL74" s="77"/>
      <c r="BM74" s="77"/>
      <c r="BN74" s="77"/>
      <c r="BO74" s="77"/>
      <c r="BP74" s="77"/>
      <c r="BQ74" s="77"/>
      <c r="BR74" s="77"/>
      <c r="BS74" s="77"/>
      <c r="BT74" s="77"/>
      <c r="BU74" s="77"/>
      <c r="BV74" s="77"/>
      <c r="BW74" s="77"/>
      <c r="BX74" s="77"/>
      <c r="BY74" s="77"/>
      <c r="BZ74" s="77"/>
      <c r="CA74" s="77"/>
      <c r="CB74" s="77"/>
    </row>
    <row r="75" spans="1:80" x14ac:dyDescent="0.25">
      <c r="A75" s="77"/>
      <c r="B75" s="77"/>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c r="AV75" s="77"/>
      <c r="AW75" s="77"/>
      <c r="AX75" s="77"/>
      <c r="AY75" s="77"/>
      <c r="AZ75" s="77"/>
      <c r="BA75" s="77"/>
      <c r="BB75" s="77"/>
      <c r="BC75" s="77"/>
      <c r="BD75" s="77"/>
      <c r="BE75" s="77"/>
      <c r="BF75" s="77"/>
      <c r="BG75" s="77"/>
      <c r="BH75" s="77"/>
      <c r="BI75" s="77"/>
      <c r="BJ75" s="77"/>
      <c r="BK75" s="77"/>
      <c r="BL75" s="77"/>
      <c r="BM75" s="77"/>
      <c r="BN75" s="77"/>
      <c r="BO75" s="77"/>
      <c r="BP75" s="77"/>
      <c r="BQ75" s="77"/>
      <c r="BR75" s="77"/>
      <c r="BS75" s="77"/>
      <c r="BT75" s="77"/>
      <c r="BU75" s="77"/>
      <c r="BV75" s="77"/>
      <c r="BW75" s="77"/>
      <c r="BX75" s="77"/>
      <c r="BY75" s="77"/>
      <c r="BZ75" s="77"/>
      <c r="CA75" s="77"/>
      <c r="CB75" s="77"/>
    </row>
    <row r="76" spans="1:80" x14ac:dyDescent="0.25">
      <c r="A76" s="77"/>
      <c r="B76" s="77"/>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77"/>
      <c r="AV76" s="77"/>
      <c r="AW76" s="77"/>
      <c r="AX76" s="77"/>
      <c r="AY76" s="77"/>
      <c r="AZ76" s="77"/>
      <c r="BA76" s="77"/>
      <c r="BB76" s="77"/>
      <c r="BC76" s="77"/>
      <c r="BD76" s="77"/>
      <c r="BE76" s="77"/>
      <c r="BF76" s="77"/>
      <c r="BG76" s="77"/>
      <c r="BH76" s="77"/>
      <c r="BI76" s="77"/>
      <c r="BJ76" s="77"/>
      <c r="BK76" s="77"/>
      <c r="BL76" s="77"/>
      <c r="BM76" s="77"/>
      <c r="BN76" s="77"/>
      <c r="BO76" s="77"/>
      <c r="BP76" s="77"/>
      <c r="BQ76" s="77"/>
      <c r="BR76" s="77"/>
      <c r="BS76" s="77"/>
      <c r="BT76" s="77"/>
      <c r="BU76" s="77"/>
      <c r="BV76" s="77"/>
      <c r="BW76" s="77"/>
      <c r="BX76" s="77"/>
      <c r="BY76" s="77"/>
      <c r="BZ76" s="77"/>
      <c r="CA76" s="77"/>
      <c r="CB76" s="77"/>
    </row>
    <row r="77" spans="1:80" x14ac:dyDescent="0.25">
      <c r="A77" s="77"/>
      <c r="B77" s="77"/>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c r="AS77" s="77"/>
      <c r="AT77" s="77"/>
      <c r="AU77" s="77"/>
      <c r="AV77" s="77"/>
      <c r="AW77" s="77"/>
      <c r="AX77" s="77"/>
      <c r="AY77" s="77"/>
      <c r="AZ77" s="77"/>
      <c r="BA77" s="77"/>
      <c r="BB77" s="77"/>
      <c r="BC77" s="77"/>
      <c r="BD77" s="77"/>
      <c r="BE77" s="77"/>
      <c r="BF77" s="77"/>
      <c r="BG77" s="77"/>
      <c r="BH77" s="77"/>
      <c r="BI77" s="77"/>
      <c r="BJ77" s="77"/>
      <c r="BK77" s="77"/>
      <c r="BL77" s="77"/>
      <c r="BM77" s="77"/>
      <c r="BN77" s="77"/>
      <c r="BO77" s="77"/>
      <c r="BP77" s="77"/>
      <c r="BQ77" s="77"/>
      <c r="BR77" s="77"/>
      <c r="BS77" s="77"/>
      <c r="BT77" s="77"/>
      <c r="BU77" s="77"/>
      <c r="BV77" s="77"/>
      <c r="BW77" s="77"/>
      <c r="BX77" s="77"/>
      <c r="BY77" s="77"/>
      <c r="BZ77" s="77"/>
      <c r="CA77" s="77"/>
      <c r="CB77" s="77"/>
    </row>
    <row r="78" spans="1:80" x14ac:dyDescent="0.25">
      <c r="A78" s="77"/>
      <c r="B78" s="77"/>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c r="AS78" s="77"/>
      <c r="AT78" s="77"/>
      <c r="AU78" s="77"/>
      <c r="AV78" s="77"/>
      <c r="AW78" s="77"/>
      <c r="AX78" s="77"/>
      <c r="AY78" s="77"/>
      <c r="AZ78" s="77"/>
      <c r="BA78" s="77"/>
      <c r="BB78" s="77"/>
      <c r="BC78" s="77"/>
      <c r="BD78" s="77"/>
      <c r="BE78" s="77"/>
      <c r="BF78" s="77"/>
      <c r="BG78" s="77"/>
      <c r="BH78" s="77"/>
      <c r="BI78" s="77"/>
      <c r="BJ78" s="77"/>
      <c r="BK78" s="77"/>
      <c r="BL78" s="77"/>
      <c r="BM78" s="77"/>
      <c r="BN78" s="77"/>
      <c r="BO78" s="77"/>
      <c r="BP78" s="77"/>
      <c r="BQ78" s="77"/>
      <c r="BR78" s="77"/>
      <c r="BS78" s="77"/>
      <c r="BT78" s="77"/>
      <c r="BU78" s="77"/>
      <c r="BV78" s="77"/>
      <c r="BW78" s="77"/>
      <c r="BX78" s="77"/>
      <c r="BY78" s="77"/>
      <c r="BZ78" s="77"/>
      <c r="CA78" s="77"/>
      <c r="CB78" s="77"/>
    </row>
    <row r="79" spans="1:80" x14ac:dyDescent="0.25">
      <c r="A79" s="77"/>
      <c r="B79" s="77"/>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7"/>
      <c r="AZ79" s="77"/>
      <c r="BA79" s="77"/>
      <c r="BB79" s="77"/>
      <c r="BC79" s="77"/>
      <c r="BD79" s="77"/>
      <c r="BE79" s="77"/>
      <c r="BF79" s="77"/>
      <c r="BG79" s="77"/>
      <c r="BH79" s="77"/>
      <c r="BI79" s="77"/>
      <c r="BJ79" s="77"/>
      <c r="BK79" s="77"/>
    </row>
    <row r="80" spans="1:80" x14ac:dyDescent="0.25">
      <c r="A80" s="77"/>
      <c r="B80" s="77"/>
      <c r="C80" s="77"/>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7"/>
      <c r="AY80" s="77"/>
      <c r="AZ80" s="77"/>
      <c r="BA80" s="77"/>
      <c r="BB80" s="77"/>
      <c r="BC80" s="77"/>
      <c r="BD80" s="77"/>
      <c r="BE80" s="77"/>
      <c r="BF80" s="77"/>
      <c r="BG80" s="77"/>
      <c r="BH80" s="77"/>
      <c r="BI80" s="77"/>
      <c r="BJ80" s="77"/>
      <c r="BK80" s="77"/>
    </row>
    <row r="81" spans="1:63" x14ac:dyDescent="0.25">
      <c r="A81" s="77"/>
      <c r="B81" s="77"/>
      <c r="C81" s="77"/>
      <c r="D81" s="77"/>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c r="AK81" s="77"/>
      <c r="AL81" s="77"/>
      <c r="AM81" s="77"/>
      <c r="AN81" s="77"/>
      <c r="AO81" s="77"/>
      <c r="AP81" s="77"/>
      <c r="AQ81" s="77"/>
      <c r="AR81" s="77"/>
      <c r="AS81" s="77"/>
      <c r="AT81" s="77"/>
      <c r="AU81" s="77"/>
      <c r="AV81" s="77"/>
      <c r="AW81" s="77"/>
      <c r="AX81" s="77"/>
      <c r="AY81" s="77"/>
      <c r="AZ81" s="77"/>
      <c r="BA81" s="77"/>
      <c r="BB81" s="77"/>
      <c r="BC81" s="77"/>
      <c r="BD81" s="77"/>
      <c r="BE81" s="77"/>
      <c r="BF81" s="77"/>
      <c r="BG81" s="77"/>
      <c r="BH81" s="77"/>
      <c r="BI81" s="77"/>
      <c r="BJ81" s="77"/>
      <c r="BK81" s="77"/>
    </row>
    <row r="82" spans="1:63" x14ac:dyDescent="0.25">
      <c r="A82" s="77"/>
      <c r="B82" s="77"/>
      <c r="C82" s="77"/>
      <c r="D82" s="77"/>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c r="AK82" s="77"/>
      <c r="AL82" s="77"/>
      <c r="AM82" s="77"/>
      <c r="AN82" s="77"/>
      <c r="AO82" s="77"/>
      <c r="AP82" s="77"/>
      <c r="AQ82" s="77"/>
      <c r="AR82" s="77"/>
      <c r="AS82" s="77"/>
      <c r="AT82" s="77"/>
      <c r="AU82" s="77"/>
      <c r="AV82" s="77"/>
      <c r="AW82" s="77"/>
      <c r="AX82" s="77"/>
      <c r="AY82" s="77"/>
      <c r="AZ82" s="77"/>
      <c r="BA82" s="77"/>
      <c r="BB82" s="77"/>
      <c r="BC82" s="77"/>
      <c r="BD82" s="77"/>
      <c r="BE82" s="77"/>
      <c r="BF82" s="77"/>
      <c r="BG82" s="77"/>
      <c r="BH82" s="77"/>
      <c r="BI82" s="77"/>
      <c r="BJ82" s="77"/>
      <c r="BK82" s="77"/>
    </row>
    <row r="83" spans="1:63" x14ac:dyDescent="0.25">
      <c r="A83" s="77"/>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c r="BK83" s="77"/>
    </row>
    <row r="84" spans="1:63" x14ac:dyDescent="0.25">
      <c r="A84" s="77"/>
      <c r="B84" s="77"/>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c r="AK84" s="77"/>
      <c r="AL84" s="77"/>
      <c r="AM84" s="77"/>
      <c r="AN84" s="77"/>
      <c r="AO84" s="77"/>
      <c r="AP84" s="77"/>
      <c r="AQ84" s="77"/>
      <c r="AR84" s="77"/>
      <c r="AS84" s="77"/>
      <c r="AT84" s="77"/>
      <c r="AU84" s="77"/>
      <c r="AV84" s="77"/>
      <c r="AW84" s="77"/>
      <c r="AX84" s="77"/>
      <c r="AY84" s="77"/>
      <c r="AZ84" s="77"/>
      <c r="BA84" s="77"/>
      <c r="BB84" s="77"/>
      <c r="BC84" s="77"/>
      <c r="BD84" s="77"/>
      <c r="BE84" s="77"/>
      <c r="BF84" s="77"/>
      <c r="BG84" s="77"/>
      <c r="BH84" s="77"/>
      <c r="BI84" s="77"/>
      <c r="BJ84" s="77"/>
      <c r="BK84" s="77"/>
    </row>
    <row r="85" spans="1:63" x14ac:dyDescent="0.25">
      <c r="A85" s="77"/>
      <c r="B85" s="77"/>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7"/>
      <c r="AS85" s="77"/>
      <c r="AT85" s="77"/>
      <c r="AU85" s="77"/>
      <c r="AV85" s="77"/>
      <c r="AW85" s="77"/>
      <c r="AX85" s="77"/>
      <c r="AY85" s="77"/>
      <c r="AZ85" s="77"/>
      <c r="BA85" s="77"/>
      <c r="BB85" s="77"/>
      <c r="BC85" s="77"/>
      <c r="BD85" s="77"/>
      <c r="BE85" s="77"/>
      <c r="BF85" s="77"/>
      <c r="BG85" s="77"/>
      <c r="BH85" s="77"/>
      <c r="BI85" s="77"/>
      <c r="BJ85" s="77"/>
      <c r="BK85" s="77"/>
    </row>
    <row r="86" spans="1:63" x14ac:dyDescent="0.25">
      <c r="A86" s="77"/>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77"/>
      <c r="AL86" s="77"/>
      <c r="AM86" s="77"/>
      <c r="AN86" s="77"/>
      <c r="AO86" s="77"/>
      <c r="AP86" s="77"/>
      <c r="AQ86" s="77"/>
      <c r="AR86" s="77"/>
      <c r="AS86" s="77"/>
      <c r="AT86" s="77"/>
      <c r="AU86" s="77"/>
      <c r="AV86" s="77"/>
      <c r="AW86" s="77"/>
      <c r="AX86" s="77"/>
      <c r="AY86" s="77"/>
      <c r="AZ86" s="77"/>
      <c r="BA86" s="77"/>
      <c r="BB86" s="77"/>
      <c r="BC86" s="77"/>
      <c r="BD86" s="77"/>
      <c r="BE86" s="77"/>
      <c r="BF86" s="77"/>
      <c r="BG86" s="77"/>
      <c r="BH86" s="77"/>
      <c r="BI86" s="77"/>
      <c r="BJ86" s="77"/>
      <c r="BK86" s="77"/>
    </row>
    <row r="87" spans="1:63" x14ac:dyDescent="0.25">
      <c r="A87" s="77"/>
      <c r="B87" s="77"/>
      <c r="C87" s="77"/>
      <c r="D87" s="77"/>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77"/>
      <c r="AK87" s="77"/>
      <c r="AL87" s="77"/>
      <c r="AM87" s="77"/>
      <c r="AN87" s="77"/>
      <c r="AO87" s="77"/>
      <c r="AP87" s="77"/>
      <c r="AQ87" s="77"/>
      <c r="AR87" s="77"/>
      <c r="AS87" s="77"/>
      <c r="AT87" s="77"/>
      <c r="AU87" s="77"/>
      <c r="AV87" s="77"/>
      <c r="AW87" s="77"/>
      <c r="AX87" s="77"/>
      <c r="AY87" s="77"/>
      <c r="AZ87" s="77"/>
      <c r="BA87" s="77"/>
      <c r="BB87" s="77"/>
      <c r="BC87" s="77"/>
      <c r="BD87" s="77"/>
      <c r="BE87" s="77"/>
      <c r="BF87" s="77"/>
      <c r="BG87" s="77"/>
      <c r="BH87" s="77"/>
      <c r="BI87" s="77"/>
      <c r="BJ87" s="77"/>
      <c r="BK87" s="77"/>
    </row>
    <row r="88" spans="1:63" x14ac:dyDescent="0.25">
      <c r="A88" s="77"/>
      <c r="B88" s="77"/>
      <c r="C88" s="77"/>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77"/>
      <c r="AW88" s="77"/>
      <c r="AX88" s="77"/>
      <c r="AY88" s="77"/>
      <c r="AZ88" s="77"/>
      <c r="BA88" s="77"/>
      <c r="BB88" s="77"/>
      <c r="BC88" s="77"/>
      <c r="BD88" s="77"/>
      <c r="BE88" s="77"/>
      <c r="BF88" s="77"/>
      <c r="BG88" s="77"/>
      <c r="BH88" s="77"/>
      <c r="BI88" s="77"/>
      <c r="BJ88" s="77"/>
      <c r="BK88" s="77"/>
    </row>
    <row r="89" spans="1:63" x14ac:dyDescent="0.25">
      <c r="A89" s="77"/>
      <c r="B89" s="77"/>
      <c r="C89" s="77"/>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c r="AP89" s="77"/>
      <c r="AQ89" s="77"/>
      <c r="AR89" s="77"/>
      <c r="AS89" s="77"/>
      <c r="AT89" s="77"/>
      <c r="AU89" s="77"/>
      <c r="AV89" s="77"/>
      <c r="AW89" s="77"/>
      <c r="AX89" s="77"/>
      <c r="AY89" s="77"/>
      <c r="AZ89" s="77"/>
      <c r="BA89" s="77"/>
      <c r="BB89" s="77"/>
      <c r="BC89" s="77"/>
      <c r="BD89" s="77"/>
      <c r="BE89" s="77"/>
      <c r="BF89" s="77"/>
      <c r="BG89" s="77"/>
      <c r="BH89" s="77"/>
      <c r="BI89" s="77"/>
      <c r="BJ89" s="77"/>
      <c r="BK89" s="77"/>
    </row>
    <row r="90" spans="1:63" x14ac:dyDescent="0.25">
      <c r="A90" s="77"/>
      <c r="B90" s="77"/>
      <c r="C90" s="77"/>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7"/>
      <c r="AP90" s="77"/>
      <c r="AQ90" s="77"/>
      <c r="AR90" s="77"/>
      <c r="AS90" s="77"/>
      <c r="AT90" s="77"/>
      <c r="AU90" s="77"/>
      <c r="AV90" s="77"/>
      <c r="AW90" s="77"/>
      <c r="AX90" s="77"/>
      <c r="AY90" s="77"/>
      <c r="AZ90" s="77"/>
      <c r="BA90" s="77"/>
      <c r="BB90" s="77"/>
      <c r="BC90" s="77"/>
      <c r="BD90" s="77"/>
      <c r="BE90" s="77"/>
      <c r="BF90" s="77"/>
      <c r="BG90" s="77"/>
      <c r="BH90" s="77"/>
      <c r="BI90" s="77"/>
      <c r="BJ90" s="77"/>
      <c r="BK90" s="77"/>
    </row>
    <row r="91" spans="1:63" x14ac:dyDescent="0.25">
      <c r="A91" s="77"/>
      <c r="B91" s="77"/>
      <c r="C91" s="77"/>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7"/>
      <c r="AS91" s="77"/>
      <c r="AT91" s="77"/>
      <c r="AU91" s="77"/>
      <c r="AV91" s="77"/>
      <c r="AW91" s="77"/>
      <c r="AX91" s="77"/>
      <c r="AY91" s="77"/>
      <c r="AZ91" s="77"/>
      <c r="BA91" s="77"/>
      <c r="BB91" s="77"/>
      <c r="BC91" s="77"/>
      <c r="BD91" s="77"/>
      <c r="BE91" s="77"/>
      <c r="BF91" s="77"/>
      <c r="BG91" s="77"/>
      <c r="BH91" s="77"/>
      <c r="BI91" s="77"/>
      <c r="BJ91" s="77"/>
      <c r="BK91" s="77"/>
    </row>
    <row r="92" spans="1:63" x14ac:dyDescent="0.25">
      <c r="A92" s="77"/>
      <c r="B92" s="77"/>
      <c r="C92" s="77"/>
      <c r="D92" s="77"/>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77"/>
      <c r="AK92" s="77"/>
      <c r="AL92" s="77"/>
      <c r="AM92" s="77"/>
      <c r="AN92" s="77"/>
      <c r="AO92" s="77"/>
      <c r="AP92" s="77"/>
      <c r="AQ92" s="77"/>
      <c r="AR92" s="77"/>
      <c r="AS92" s="77"/>
      <c r="AT92" s="77"/>
      <c r="AU92" s="77"/>
      <c r="AV92" s="77"/>
      <c r="AW92" s="77"/>
      <c r="AX92" s="77"/>
      <c r="AY92" s="77"/>
      <c r="AZ92" s="77"/>
      <c r="BA92" s="77"/>
      <c r="BB92" s="77"/>
      <c r="BC92" s="77"/>
      <c r="BD92" s="77"/>
      <c r="BE92" s="77"/>
      <c r="BF92" s="77"/>
      <c r="BG92" s="77"/>
      <c r="BH92" s="77"/>
      <c r="BI92" s="77"/>
      <c r="BJ92" s="77"/>
      <c r="BK92" s="77"/>
    </row>
    <row r="93" spans="1:63" x14ac:dyDescent="0.25">
      <c r="A93" s="77"/>
      <c r="B93" s="77"/>
      <c r="C93" s="77"/>
      <c r="D93" s="77"/>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c r="AK93" s="77"/>
      <c r="AL93" s="77"/>
      <c r="AM93" s="77"/>
      <c r="AN93" s="77"/>
      <c r="AO93" s="77"/>
      <c r="AP93" s="77"/>
      <c r="AQ93" s="77"/>
      <c r="AR93" s="77"/>
      <c r="AS93" s="77"/>
      <c r="AT93" s="77"/>
      <c r="AU93" s="77"/>
      <c r="AV93" s="77"/>
      <c r="AW93" s="77"/>
      <c r="AX93" s="77"/>
      <c r="AY93" s="77"/>
      <c r="AZ93" s="77"/>
      <c r="BA93" s="77"/>
      <c r="BB93" s="77"/>
      <c r="BC93" s="77"/>
      <c r="BD93" s="77"/>
      <c r="BE93" s="77"/>
      <c r="BF93" s="77"/>
      <c r="BG93" s="77"/>
      <c r="BH93" s="77"/>
      <c r="BI93" s="77"/>
      <c r="BJ93" s="77"/>
      <c r="BK93" s="77"/>
    </row>
    <row r="94" spans="1:63" x14ac:dyDescent="0.25">
      <c r="A94" s="77"/>
      <c r="B94" s="77"/>
      <c r="C94" s="77"/>
      <c r="D94" s="77"/>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77"/>
      <c r="AH94" s="77"/>
      <c r="AI94" s="77"/>
      <c r="AJ94" s="77"/>
      <c r="AK94" s="77"/>
      <c r="AL94" s="77"/>
      <c r="AM94" s="77"/>
      <c r="AN94" s="77"/>
      <c r="AO94" s="77"/>
      <c r="AP94" s="77"/>
      <c r="AQ94" s="77"/>
      <c r="AR94" s="77"/>
      <c r="AS94" s="77"/>
      <c r="AT94" s="77"/>
      <c r="AU94" s="77"/>
      <c r="AV94" s="77"/>
      <c r="AW94" s="77"/>
      <c r="AX94" s="77"/>
      <c r="AY94" s="77"/>
      <c r="AZ94" s="77"/>
      <c r="BA94" s="77"/>
      <c r="BB94" s="77"/>
      <c r="BC94" s="77"/>
      <c r="BD94" s="77"/>
      <c r="BE94" s="77"/>
      <c r="BF94" s="77"/>
      <c r="BG94" s="77"/>
      <c r="BH94" s="77"/>
      <c r="BI94" s="77"/>
      <c r="BJ94" s="77"/>
      <c r="BK94" s="77"/>
    </row>
    <row r="95" spans="1:63" x14ac:dyDescent="0.25">
      <c r="A95" s="77"/>
      <c r="B95" s="77"/>
      <c r="C95" s="77"/>
      <c r="D95" s="77"/>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77"/>
      <c r="AK95" s="77"/>
      <c r="AL95" s="77"/>
      <c r="AM95" s="77"/>
      <c r="AN95" s="77"/>
      <c r="AO95" s="77"/>
      <c r="AP95" s="77"/>
      <c r="AQ95" s="77"/>
      <c r="AR95" s="77"/>
      <c r="AS95" s="77"/>
      <c r="AT95" s="77"/>
      <c r="AU95" s="77"/>
      <c r="AV95" s="77"/>
      <c r="AW95" s="77"/>
      <c r="AX95" s="77"/>
      <c r="AY95" s="77"/>
      <c r="AZ95" s="77"/>
      <c r="BA95" s="77"/>
      <c r="BB95" s="77"/>
      <c r="BC95" s="77"/>
      <c r="BD95" s="77"/>
      <c r="BE95" s="77"/>
      <c r="BF95" s="77"/>
      <c r="BG95" s="77"/>
      <c r="BH95" s="77"/>
      <c r="BI95" s="77"/>
      <c r="BJ95" s="77"/>
      <c r="BK95" s="77"/>
    </row>
    <row r="96" spans="1:63" x14ac:dyDescent="0.25">
      <c r="A96" s="77"/>
      <c r="B96" s="77"/>
      <c r="C96" s="77"/>
      <c r="D96" s="77"/>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c r="AH96" s="77"/>
      <c r="AI96" s="77"/>
      <c r="AJ96" s="77"/>
      <c r="AK96" s="77"/>
      <c r="AL96" s="77"/>
      <c r="AM96" s="77"/>
      <c r="AN96" s="77"/>
      <c r="AO96" s="77"/>
      <c r="AP96" s="77"/>
      <c r="AQ96" s="77"/>
      <c r="AR96" s="77"/>
      <c r="AS96" s="77"/>
      <c r="AT96" s="77"/>
      <c r="AU96" s="77"/>
      <c r="AV96" s="77"/>
      <c r="AW96" s="77"/>
      <c r="AX96" s="77"/>
      <c r="AY96" s="77"/>
      <c r="AZ96" s="77"/>
      <c r="BA96" s="77"/>
      <c r="BB96" s="77"/>
      <c r="BC96" s="77"/>
      <c r="BD96" s="77"/>
      <c r="BE96" s="77"/>
      <c r="BF96" s="77"/>
      <c r="BG96" s="77"/>
      <c r="BH96" s="77"/>
      <c r="BI96" s="77"/>
      <c r="BJ96" s="77"/>
      <c r="BK96" s="77"/>
    </row>
    <row r="97" spans="1:63" x14ac:dyDescent="0.25">
      <c r="A97" s="77"/>
      <c r="B97" s="77"/>
      <c r="C97" s="77"/>
      <c r="D97" s="77"/>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7"/>
      <c r="AK97" s="77"/>
      <c r="AL97" s="77"/>
      <c r="AM97" s="77"/>
      <c r="AN97" s="77"/>
      <c r="AO97" s="77"/>
      <c r="AP97" s="77"/>
      <c r="AQ97" s="77"/>
      <c r="AR97" s="77"/>
      <c r="AS97" s="77"/>
      <c r="AT97" s="77"/>
      <c r="AU97" s="77"/>
      <c r="AV97" s="77"/>
      <c r="AW97" s="77"/>
      <c r="AX97" s="77"/>
      <c r="AY97" s="77"/>
      <c r="AZ97" s="77"/>
      <c r="BA97" s="77"/>
      <c r="BB97" s="77"/>
      <c r="BC97" s="77"/>
      <c r="BD97" s="77"/>
      <c r="BE97" s="77"/>
      <c r="BF97" s="77"/>
      <c r="BG97" s="77"/>
      <c r="BH97" s="77"/>
      <c r="BI97" s="77"/>
      <c r="BJ97" s="77"/>
      <c r="BK97" s="77"/>
    </row>
    <row r="98" spans="1:63" x14ac:dyDescent="0.25">
      <c r="A98" s="77"/>
      <c r="B98" s="77"/>
      <c r="C98" s="77"/>
      <c r="D98" s="77"/>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c r="AK98" s="77"/>
      <c r="AL98" s="77"/>
      <c r="AM98" s="77"/>
      <c r="AN98" s="77"/>
      <c r="AO98" s="77"/>
      <c r="AP98" s="77"/>
      <c r="AQ98" s="77"/>
      <c r="AR98" s="77"/>
      <c r="AS98" s="77"/>
      <c r="AT98" s="77"/>
      <c r="AU98" s="77"/>
      <c r="AV98" s="77"/>
      <c r="AW98" s="77"/>
      <c r="AX98" s="77"/>
      <c r="AY98" s="77"/>
      <c r="AZ98" s="77"/>
      <c r="BA98" s="77"/>
      <c r="BB98" s="77"/>
      <c r="BC98" s="77"/>
      <c r="BD98" s="77"/>
      <c r="BE98" s="77"/>
      <c r="BF98" s="77"/>
      <c r="BG98" s="77"/>
      <c r="BH98" s="77"/>
      <c r="BI98" s="77"/>
      <c r="BJ98" s="77"/>
      <c r="BK98" s="77"/>
    </row>
    <row r="99" spans="1:63" x14ac:dyDescent="0.25">
      <c r="A99" s="77"/>
      <c r="B99" s="77"/>
      <c r="C99" s="77"/>
      <c r="D99" s="77"/>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7"/>
      <c r="AY99" s="77"/>
      <c r="AZ99" s="77"/>
      <c r="BA99" s="77"/>
      <c r="BB99" s="77"/>
      <c r="BC99" s="77"/>
      <c r="BD99" s="77"/>
      <c r="BE99" s="77"/>
      <c r="BF99" s="77"/>
      <c r="BG99" s="77"/>
      <c r="BH99" s="77"/>
      <c r="BI99" s="77"/>
      <c r="BJ99" s="77"/>
      <c r="BK99" s="77"/>
    </row>
    <row r="100" spans="1:63" x14ac:dyDescent="0.25">
      <c r="A100" s="77"/>
      <c r="B100" s="77"/>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7"/>
      <c r="AY100" s="77"/>
      <c r="AZ100" s="77"/>
      <c r="BA100" s="77"/>
      <c r="BB100" s="77"/>
      <c r="BC100" s="77"/>
      <c r="BD100" s="77"/>
      <c r="BE100" s="77"/>
      <c r="BF100" s="77"/>
      <c r="BG100" s="77"/>
      <c r="BH100" s="77"/>
      <c r="BI100" s="77"/>
      <c r="BJ100" s="77"/>
      <c r="BK100" s="77"/>
    </row>
    <row r="101" spans="1:63" x14ac:dyDescent="0.25">
      <c r="A101" s="77"/>
      <c r="B101" s="77"/>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7"/>
      <c r="AY101" s="77"/>
      <c r="AZ101" s="77"/>
      <c r="BA101" s="77"/>
      <c r="BB101" s="77"/>
      <c r="BC101" s="77"/>
      <c r="BD101" s="77"/>
      <c r="BE101" s="77"/>
      <c r="BF101" s="77"/>
      <c r="BG101" s="77"/>
      <c r="BH101" s="77"/>
      <c r="BI101" s="77"/>
      <c r="BJ101" s="77"/>
      <c r="BK101" s="77"/>
    </row>
    <row r="102" spans="1:63" x14ac:dyDescent="0.25">
      <c r="A102" s="77"/>
      <c r="B102" s="77"/>
      <c r="C102" s="77"/>
      <c r="D102" s="77"/>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7"/>
      <c r="AY102" s="77"/>
      <c r="AZ102" s="77"/>
      <c r="BA102" s="77"/>
      <c r="BB102" s="77"/>
      <c r="BC102" s="77"/>
      <c r="BD102" s="77"/>
      <c r="BE102" s="77"/>
      <c r="BF102" s="77"/>
      <c r="BG102" s="77"/>
      <c r="BH102" s="77"/>
      <c r="BI102" s="77"/>
      <c r="BJ102" s="77"/>
      <c r="BK102" s="77"/>
    </row>
    <row r="103" spans="1:63" x14ac:dyDescent="0.25">
      <c r="A103" s="77"/>
      <c r="B103" s="77"/>
      <c r="C103" s="77"/>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7"/>
      <c r="AY103" s="77"/>
      <c r="AZ103" s="77"/>
      <c r="BA103" s="77"/>
      <c r="BB103" s="77"/>
      <c r="BC103" s="77"/>
      <c r="BD103" s="77"/>
      <c r="BE103" s="77"/>
      <c r="BF103" s="77"/>
      <c r="BG103" s="77"/>
      <c r="BH103" s="77"/>
      <c r="BI103" s="77"/>
      <c r="BJ103" s="77"/>
      <c r="BK103" s="77"/>
    </row>
    <row r="104" spans="1:63" x14ac:dyDescent="0.25">
      <c r="A104" s="77"/>
      <c r="B104" s="77"/>
      <c r="C104" s="77"/>
      <c r="D104" s="77"/>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c r="AK104" s="77"/>
      <c r="AL104" s="77"/>
      <c r="AM104" s="77"/>
      <c r="AN104" s="77"/>
      <c r="AO104" s="77"/>
      <c r="AP104" s="77"/>
      <c r="AQ104" s="77"/>
      <c r="AR104" s="77"/>
      <c r="AS104" s="77"/>
      <c r="AT104" s="77"/>
      <c r="AU104" s="77"/>
      <c r="AV104" s="77"/>
      <c r="AW104" s="77"/>
      <c r="AX104" s="77"/>
      <c r="AY104" s="77"/>
      <c r="AZ104" s="77"/>
      <c r="BA104" s="77"/>
      <c r="BB104" s="77"/>
      <c r="BC104" s="77"/>
      <c r="BD104" s="77"/>
      <c r="BE104" s="77"/>
      <c r="BF104" s="77"/>
      <c r="BG104" s="77"/>
      <c r="BH104" s="77"/>
      <c r="BI104" s="77"/>
      <c r="BJ104" s="77"/>
      <c r="BK104" s="77"/>
    </row>
    <row r="105" spans="1:63" x14ac:dyDescent="0.25">
      <c r="A105" s="77"/>
      <c r="B105" s="77"/>
      <c r="C105" s="77"/>
      <c r="D105" s="77"/>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c r="AK105" s="77"/>
      <c r="AL105" s="77"/>
      <c r="AM105" s="77"/>
      <c r="AN105" s="77"/>
      <c r="AO105" s="77"/>
      <c r="AP105" s="77"/>
      <c r="AQ105" s="77"/>
      <c r="AR105" s="77"/>
      <c r="AS105" s="77"/>
      <c r="AT105" s="77"/>
      <c r="AU105" s="77"/>
      <c r="AV105" s="77"/>
      <c r="AW105" s="77"/>
      <c r="AX105" s="77"/>
      <c r="AY105" s="77"/>
      <c r="AZ105" s="77"/>
      <c r="BA105" s="77"/>
      <c r="BB105" s="77"/>
      <c r="BC105" s="77"/>
      <c r="BD105" s="77"/>
      <c r="BE105" s="77"/>
      <c r="BF105" s="77"/>
      <c r="BG105" s="77"/>
      <c r="BH105" s="77"/>
      <c r="BI105" s="77"/>
      <c r="BJ105" s="77"/>
      <c r="BK105" s="77"/>
    </row>
    <row r="106" spans="1:63" x14ac:dyDescent="0.25">
      <c r="A106" s="77"/>
      <c r="B106" s="77"/>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c r="AK106" s="77"/>
      <c r="AL106" s="77"/>
      <c r="AM106" s="77"/>
      <c r="AN106" s="77"/>
      <c r="AO106" s="77"/>
      <c r="AP106" s="77"/>
      <c r="AQ106" s="77"/>
      <c r="AR106" s="77"/>
      <c r="AS106" s="77"/>
      <c r="AT106" s="77"/>
      <c r="AU106" s="77"/>
      <c r="AV106" s="77"/>
      <c r="AW106" s="77"/>
      <c r="AX106" s="77"/>
      <c r="AY106" s="77"/>
      <c r="AZ106" s="77"/>
      <c r="BA106" s="77"/>
      <c r="BB106" s="77"/>
      <c r="BC106" s="77"/>
      <c r="BD106" s="77"/>
      <c r="BE106" s="77"/>
      <c r="BF106" s="77"/>
      <c r="BG106" s="77"/>
      <c r="BH106" s="77"/>
      <c r="BI106" s="77"/>
      <c r="BJ106" s="77"/>
      <c r="BK106" s="77"/>
    </row>
    <row r="107" spans="1:63" x14ac:dyDescent="0.25">
      <c r="A107" s="77"/>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c r="AK107" s="77"/>
      <c r="AL107" s="77"/>
      <c r="AM107" s="77"/>
      <c r="AN107" s="77"/>
      <c r="AO107" s="77"/>
      <c r="AP107" s="77"/>
      <c r="AQ107" s="77"/>
      <c r="AR107" s="77"/>
      <c r="AS107" s="77"/>
      <c r="AT107" s="77"/>
      <c r="AU107" s="77"/>
      <c r="AV107" s="77"/>
      <c r="AW107" s="77"/>
      <c r="AX107" s="77"/>
      <c r="AY107" s="77"/>
      <c r="AZ107" s="77"/>
      <c r="BA107" s="77"/>
      <c r="BB107" s="77"/>
      <c r="BC107" s="77"/>
      <c r="BD107" s="77"/>
      <c r="BE107" s="77"/>
      <c r="BF107" s="77"/>
      <c r="BG107" s="77"/>
      <c r="BH107" s="77"/>
      <c r="BI107" s="77"/>
      <c r="BJ107" s="77"/>
      <c r="BK107" s="77"/>
    </row>
    <row r="108" spans="1:63" x14ac:dyDescent="0.25">
      <c r="A108" s="77"/>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c r="AK108" s="77"/>
      <c r="AL108" s="77"/>
      <c r="AM108" s="77"/>
      <c r="AN108" s="77"/>
      <c r="AO108" s="77"/>
      <c r="AP108" s="77"/>
      <c r="AQ108" s="77"/>
      <c r="AR108" s="77"/>
      <c r="AS108" s="77"/>
      <c r="AT108" s="77"/>
      <c r="AU108" s="77"/>
      <c r="AV108" s="77"/>
      <c r="AW108" s="77"/>
      <c r="AX108" s="77"/>
      <c r="AY108" s="77"/>
      <c r="AZ108" s="77"/>
      <c r="BA108" s="77"/>
      <c r="BB108" s="77"/>
      <c r="BC108" s="77"/>
      <c r="BD108" s="77"/>
      <c r="BE108" s="77"/>
      <c r="BF108" s="77"/>
      <c r="BG108" s="77"/>
      <c r="BH108" s="77"/>
      <c r="BI108" s="77"/>
      <c r="BJ108" s="77"/>
      <c r="BK108" s="77"/>
    </row>
    <row r="109" spans="1:63" x14ac:dyDescent="0.25">
      <c r="A109" s="77"/>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c r="AG109" s="77"/>
      <c r="AH109" s="77"/>
      <c r="AI109" s="77"/>
      <c r="AJ109" s="77"/>
      <c r="AK109" s="77"/>
      <c r="AL109" s="77"/>
      <c r="AM109" s="77"/>
      <c r="AN109" s="77"/>
      <c r="AO109" s="77"/>
      <c r="AP109" s="77"/>
      <c r="AQ109" s="77"/>
      <c r="AR109" s="77"/>
      <c r="AS109" s="77"/>
      <c r="AT109" s="77"/>
      <c r="AU109" s="77"/>
      <c r="AV109" s="77"/>
      <c r="AW109" s="77"/>
      <c r="AX109" s="77"/>
      <c r="AY109" s="77"/>
      <c r="AZ109" s="77"/>
      <c r="BA109" s="77"/>
      <c r="BB109" s="77"/>
      <c r="BC109" s="77"/>
      <c r="BD109" s="77"/>
      <c r="BE109" s="77"/>
      <c r="BF109" s="77"/>
      <c r="BG109" s="77"/>
      <c r="BH109" s="77"/>
      <c r="BI109" s="77"/>
      <c r="BJ109" s="77"/>
      <c r="BK109" s="77"/>
    </row>
    <row r="110" spans="1:63" x14ac:dyDescent="0.25">
      <c r="A110" s="77"/>
      <c r="B110" s="77"/>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c r="AK110" s="77"/>
      <c r="AL110" s="77"/>
      <c r="AM110" s="77"/>
      <c r="AN110" s="77"/>
      <c r="AO110" s="77"/>
      <c r="AP110" s="77"/>
      <c r="AQ110" s="77"/>
      <c r="AR110" s="77"/>
      <c r="AS110" s="77"/>
      <c r="AT110" s="77"/>
      <c r="AU110" s="77"/>
      <c r="AV110" s="77"/>
      <c r="AW110" s="77"/>
      <c r="AX110" s="77"/>
      <c r="AY110" s="77"/>
      <c r="AZ110" s="77"/>
      <c r="BA110" s="77"/>
      <c r="BB110" s="77"/>
      <c r="BC110" s="77"/>
      <c r="BD110" s="77"/>
      <c r="BE110" s="77"/>
      <c r="BF110" s="77"/>
      <c r="BG110" s="77"/>
      <c r="BH110" s="77"/>
      <c r="BI110" s="77"/>
      <c r="BJ110" s="77"/>
      <c r="BK110" s="77"/>
    </row>
    <row r="111" spans="1:63" x14ac:dyDescent="0.25">
      <c r="A111" s="77"/>
      <c r="B111" s="77"/>
      <c r="C111" s="77"/>
      <c r="D111" s="77"/>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c r="AK111" s="77"/>
      <c r="AL111" s="77"/>
      <c r="AM111" s="77"/>
      <c r="AN111" s="77"/>
      <c r="AO111" s="77"/>
      <c r="AP111" s="77"/>
      <c r="AQ111" s="77"/>
      <c r="AR111" s="77"/>
      <c r="AS111" s="77"/>
      <c r="AT111" s="77"/>
      <c r="AU111" s="77"/>
      <c r="AV111" s="77"/>
      <c r="AW111" s="77"/>
      <c r="AX111" s="77"/>
      <c r="AY111" s="77"/>
      <c r="AZ111" s="77"/>
      <c r="BA111" s="77"/>
      <c r="BB111" s="77"/>
      <c r="BC111" s="77"/>
      <c r="BD111" s="77"/>
      <c r="BE111" s="77"/>
      <c r="BF111" s="77"/>
      <c r="BG111" s="77"/>
      <c r="BH111" s="77"/>
      <c r="BI111" s="77"/>
      <c r="BJ111" s="77"/>
      <c r="BK111" s="77"/>
    </row>
    <row r="112" spans="1:63" x14ac:dyDescent="0.25">
      <c r="A112" s="77"/>
      <c r="B112" s="77"/>
      <c r="C112" s="77"/>
      <c r="D112" s="77"/>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7"/>
      <c r="AK112" s="77"/>
      <c r="AL112" s="77"/>
      <c r="AM112" s="77"/>
      <c r="AN112" s="77"/>
      <c r="AO112" s="77"/>
      <c r="AP112" s="77"/>
      <c r="AQ112" s="77"/>
      <c r="AR112" s="77"/>
      <c r="AS112" s="77"/>
      <c r="AT112" s="77"/>
      <c r="AU112" s="77"/>
      <c r="AV112" s="77"/>
      <c r="AW112" s="77"/>
      <c r="AX112" s="77"/>
      <c r="AY112" s="77"/>
      <c r="AZ112" s="77"/>
      <c r="BA112" s="77"/>
      <c r="BB112" s="77"/>
      <c r="BC112" s="77"/>
      <c r="BD112" s="77"/>
      <c r="BE112" s="77"/>
      <c r="BF112" s="77"/>
      <c r="BG112" s="77"/>
      <c r="BH112" s="77"/>
      <c r="BI112" s="77"/>
      <c r="BJ112" s="77"/>
      <c r="BK112" s="77"/>
    </row>
    <row r="113" spans="1:63" x14ac:dyDescent="0.25">
      <c r="A113" s="77"/>
      <c r="B113" s="77"/>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c r="AK113" s="77"/>
      <c r="AL113" s="77"/>
      <c r="AM113" s="77"/>
      <c r="AN113" s="77"/>
      <c r="AO113" s="77"/>
      <c r="AP113" s="77"/>
      <c r="AQ113" s="77"/>
      <c r="AR113" s="77"/>
      <c r="AS113" s="77"/>
      <c r="AT113" s="77"/>
      <c r="AU113" s="77"/>
      <c r="AV113" s="77"/>
      <c r="AW113" s="77"/>
      <c r="AX113" s="77"/>
      <c r="AY113" s="77"/>
      <c r="AZ113" s="77"/>
      <c r="BA113" s="77"/>
      <c r="BB113" s="77"/>
      <c r="BC113" s="77"/>
      <c r="BD113" s="77"/>
      <c r="BE113" s="77"/>
      <c r="BF113" s="77"/>
      <c r="BG113" s="77"/>
      <c r="BH113" s="77"/>
      <c r="BI113" s="77"/>
      <c r="BJ113" s="77"/>
      <c r="BK113" s="77"/>
    </row>
    <row r="114" spans="1:63" x14ac:dyDescent="0.25">
      <c r="A114" s="77"/>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c r="AG114" s="77"/>
      <c r="AH114" s="77"/>
      <c r="AI114" s="77"/>
      <c r="AJ114" s="77"/>
      <c r="AK114" s="77"/>
      <c r="AL114" s="77"/>
      <c r="AM114" s="77"/>
      <c r="AN114" s="77"/>
      <c r="AO114" s="77"/>
      <c r="AP114" s="77"/>
      <c r="AQ114" s="77"/>
      <c r="AR114" s="77"/>
      <c r="AS114" s="77"/>
      <c r="AT114" s="77"/>
      <c r="AU114" s="77"/>
      <c r="AV114" s="77"/>
      <c r="AW114" s="77"/>
      <c r="AX114" s="77"/>
      <c r="AY114" s="77"/>
      <c r="AZ114" s="77"/>
      <c r="BA114" s="77"/>
      <c r="BB114" s="77"/>
      <c r="BC114" s="77"/>
      <c r="BD114" s="77"/>
      <c r="BE114" s="77"/>
      <c r="BF114" s="77"/>
      <c r="BG114" s="77"/>
      <c r="BH114" s="77"/>
      <c r="BI114" s="77"/>
      <c r="BJ114" s="77"/>
      <c r="BK114" s="77"/>
    </row>
    <row r="115" spans="1:63" x14ac:dyDescent="0.25">
      <c r="A115" s="77"/>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c r="AK115" s="77"/>
      <c r="AL115" s="77"/>
      <c r="AM115" s="77"/>
      <c r="AN115" s="77"/>
      <c r="AO115" s="77"/>
      <c r="AP115" s="77"/>
      <c r="AQ115" s="77"/>
      <c r="AR115" s="77"/>
      <c r="AS115" s="77"/>
      <c r="AT115" s="77"/>
      <c r="AU115" s="77"/>
      <c r="AV115" s="77"/>
      <c r="AW115" s="77"/>
      <c r="AX115" s="77"/>
      <c r="AY115" s="77"/>
      <c r="AZ115" s="77"/>
      <c r="BA115" s="77"/>
      <c r="BB115" s="77"/>
      <c r="BC115" s="77"/>
      <c r="BD115" s="77"/>
      <c r="BE115" s="77"/>
      <c r="BF115" s="77"/>
      <c r="BG115" s="77"/>
      <c r="BH115" s="77"/>
      <c r="BI115" s="77"/>
      <c r="BJ115" s="77"/>
      <c r="BK115" s="77"/>
    </row>
    <row r="116" spans="1:63" x14ac:dyDescent="0.25">
      <c r="A116" s="77"/>
      <c r="B116" s="77"/>
      <c r="C116" s="77"/>
      <c r="D116" s="77"/>
      <c r="E116" s="77"/>
      <c r="F116" s="77"/>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c r="AE116" s="77"/>
      <c r="AF116" s="77"/>
      <c r="AG116" s="77"/>
      <c r="AH116" s="77"/>
      <c r="AI116" s="77"/>
      <c r="AJ116" s="77"/>
      <c r="AK116" s="77"/>
      <c r="AL116" s="77"/>
      <c r="AM116" s="77"/>
      <c r="AN116" s="77"/>
      <c r="AO116" s="77"/>
      <c r="AP116" s="77"/>
      <c r="AQ116" s="77"/>
      <c r="AR116" s="77"/>
      <c r="AS116" s="77"/>
      <c r="AT116" s="77"/>
      <c r="AU116" s="77"/>
      <c r="AV116" s="77"/>
      <c r="AW116" s="77"/>
      <c r="AX116" s="77"/>
      <c r="AY116" s="77"/>
      <c r="AZ116" s="77"/>
      <c r="BA116" s="77"/>
      <c r="BB116" s="77"/>
      <c r="BC116" s="77"/>
      <c r="BD116" s="77"/>
      <c r="BE116" s="77"/>
      <c r="BF116" s="77"/>
      <c r="BG116" s="77"/>
      <c r="BH116" s="77"/>
      <c r="BI116" s="77"/>
      <c r="BJ116" s="77"/>
      <c r="BK116" s="77"/>
    </row>
    <row r="117" spans="1:63" x14ac:dyDescent="0.25">
      <c r="A117" s="77"/>
      <c r="B117" s="77"/>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c r="AK117" s="77"/>
      <c r="AL117" s="77"/>
      <c r="AM117" s="77"/>
      <c r="AN117" s="77"/>
      <c r="AO117" s="77"/>
      <c r="AP117" s="77"/>
      <c r="AQ117" s="77"/>
      <c r="AR117" s="77"/>
      <c r="AS117" s="77"/>
      <c r="AT117" s="77"/>
      <c r="AU117" s="77"/>
      <c r="AV117" s="77"/>
      <c r="AW117" s="77"/>
      <c r="AX117" s="77"/>
      <c r="AY117" s="77"/>
      <c r="AZ117" s="77"/>
      <c r="BA117" s="77"/>
      <c r="BB117" s="77"/>
      <c r="BC117" s="77"/>
      <c r="BD117" s="77"/>
      <c r="BE117" s="77"/>
      <c r="BF117" s="77"/>
      <c r="BG117" s="77"/>
      <c r="BH117" s="77"/>
      <c r="BI117" s="77"/>
      <c r="BJ117" s="77"/>
      <c r="BK117" s="77"/>
    </row>
    <row r="118" spans="1:63" x14ac:dyDescent="0.25">
      <c r="A118" s="77"/>
      <c r="B118" s="77"/>
      <c r="C118" s="77"/>
      <c r="D118" s="77"/>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c r="AG118" s="77"/>
      <c r="AH118" s="77"/>
      <c r="AI118" s="77"/>
      <c r="AJ118" s="77"/>
      <c r="AK118" s="77"/>
      <c r="AL118" s="77"/>
      <c r="AM118" s="77"/>
      <c r="AN118" s="77"/>
      <c r="AO118" s="77"/>
      <c r="AP118" s="77"/>
      <c r="AQ118" s="77"/>
      <c r="AR118" s="77"/>
      <c r="AS118" s="77"/>
      <c r="AT118" s="77"/>
      <c r="AU118" s="77"/>
      <c r="AV118" s="77"/>
      <c r="AW118" s="77"/>
      <c r="AX118" s="77"/>
      <c r="AY118" s="77"/>
      <c r="AZ118" s="77"/>
      <c r="BA118" s="77"/>
      <c r="BB118" s="77"/>
      <c r="BC118" s="77"/>
      <c r="BD118" s="77"/>
      <c r="BE118" s="77"/>
      <c r="BF118" s="77"/>
      <c r="BG118" s="77"/>
      <c r="BH118" s="77"/>
      <c r="BI118" s="77"/>
      <c r="BJ118" s="77"/>
      <c r="BK118" s="77"/>
    </row>
    <row r="119" spans="1:63" x14ac:dyDescent="0.25">
      <c r="A119" s="77"/>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c r="AG119" s="77"/>
      <c r="AH119" s="77"/>
      <c r="AI119" s="77"/>
      <c r="AJ119" s="77"/>
      <c r="AK119" s="77"/>
      <c r="AL119" s="77"/>
      <c r="AM119" s="77"/>
      <c r="AN119" s="77"/>
      <c r="AO119" s="77"/>
      <c r="AP119" s="77"/>
      <c r="AQ119" s="77"/>
      <c r="AR119" s="77"/>
      <c r="AS119" s="77"/>
      <c r="AT119" s="77"/>
      <c r="AU119" s="77"/>
      <c r="AV119" s="77"/>
      <c r="AW119" s="77"/>
      <c r="AX119" s="77"/>
      <c r="AY119" s="77"/>
      <c r="AZ119" s="77"/>
      <c r="BA119" s="77"/>
      <c r="BB119" s="77"/>
      <c r="BC119" s="77"/>
      <c r="BD119" s="77"/>
      <c r="BE119" s="77"/>
      <c r="BF119" s="77"/>
      <c r="BG119" s="77"/>
      <c r="BH119" s="77"/>
      <c r="BI119" s="77"/>
      <c r="BJ119" s="77"/>
      <c r="BK119" s="77"/>
    </row>
    <row r="120" spans="1:63" x14ac:dyDescent="0.25">
      <c r="A120" s="77"/>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c r="AG120" s="77"/>
      <c r="AH120" s="77"/>
      <c r="AI120" s="77"/>
      <c r="AJ120" s="77"/>
      <c r="AK120" s="77"/>
      <c r="AL120" s="77"/>
      <c r="AM120" s="77"/>
      <c r="AN120" s="77"/>
      <c r="AO120" s="77"/>
      <c r="AP120" s="77"/>
      <c r="AQ120" s="77"/>
      <c r="AR120" s="77"/>
      <c r="AS120" s="77"/>
      <c r="AT120" s="77"/>
      <c r="AU120" s="77"/>
      <c r="AV120" s="77"/>
      <c r="AW120" s="77"/>
      <c r="AX120" s="77"/>
      <c r="AY120" s="77"/>
      <c r="AZ120" s="77"/>
      <c r="BA120" s="77"/>
      <c r="BB120" s="77"/>
      <c r="BC120" s="77"/>
      <c r="BD120" s="77"/>
      <c r="BE120" s="77"/>
      <c r="BF120" s="77"/>
      <c r="BG120" s="77"/>
      <c r="BH120" s="77"/>
      <c r="BI120" s="77"/>
      <c r="BJ120" s="77"/>
      <c r="BK120" s="77"/>
    </row>
    <row r="121" spans="1:63" x14ac:dyDescent="0.25">
      <c r="A121" s="77"/>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c r="AG121" s="77"/>
      <c r="AH121" s="77"/>
      <c r="AI121" s="77"/>
      <c r="AJ121" s="77"/>
      <c r="AK121" s="77"/>
      <c r="AL121" s="77"/>
      <c r="AM121" s="77"/>
      <c r="AN121" s="77"/>
      <c r="AO121" s="77"/>
      <c r="AP121" s="77"/>
      <c r="AQ121" s="77"/>
      <c r="AR121" s="77"/>
      <c r="AS121" s="77"/>
      <c r="AT121" s="77"/>
      <c r="AU121" s="77"/>
      <c r="AV121" s="77"/>
      <c r="AW121" s="77"/>
      <c r="AX121" s="77"/>
      <c r="AY121" s="77"/>
      <c r="AZ121" s="77"/>
      <c r="BA121" s="77"/>
      <c r="BB121" s="77"/>
      <c r="BC121" s="77"/>
      <c r="BD121" s="77"/>
      <c r="BE121" s="77"/>
      <c r="BF121" s="77"/>
      <c r="BG121" s="77"/>
      <c r="BH121" s="77"/>
      <c r="BI121" s="77"/>
      <c r="BJ121" s="77"/>
      <c r="BK121" s="77"/>
    </row>
    <row r="122" spans="1:63" x14ac:dyDescent="0.25">
      <c r="B122" s="77"/>
      <c r="C122" s="77"/>
      <c r="D122" s="77"/>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7"/>
      <c r="AF122" s="77"/>
      <c r="AG122" s="77"/>
      <c r="AH122" s="77"/>
      <c r="AI122" s="77"/>
      <c r="AJ122" s="77"/>
      <c r="AK122" s="77"/>
      <c r="AL122" s="77"/>
      <c r="AM122" s="77"/>
      <c r="AN122" s="77"/>
      <c r="AO122" s="77"/>
      <c r="AP122" s="77"/>
      <c r="AQ122" s="77"/>
      <c r="AR122" s="77"/>
      <c r="AS122" s="77"/>
      <c r="AT122" s="77"/>
      <c r="AU122" s="77"/>
      <c r="AV122" s="77"/>
      <c r="AW122" s="77"/>
      <c r="AX122" s="77"/>
      <c r="AY122" s="77"/>
      <c r="AZ122" s="77"/>
      <c r="BA122" s="77"/>
      <c r="BB122" s="77"/>
      <c r="BC122" s="77"/>
      <c r="BD122" s="77"/>
      <c r="BE122" s="77"/>
      <c r="BF122" s="77"/>
      <c r="BG122" s="77"/>
      <c r="BH122" s="77"/>
      <c r="BI122" s="77"/>
      <c r="BJ122" s="77"/>
      <c r="BK122" s="77"/>
    </row>
    <row r="123" spans="1:63" x14ac:dyDescent="0.25">
      <c r="B123" s="77"/>
      <c r="C123" s="77"/>
      <c r="D123" s="77"/>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c r="AG123" s="77"/>
      <c r="AH123" s="77"/>
      <c r="AI123" s="77"/>
      <c r="AJ123" s="77"/>
      <c r="AK123" s="77"/>
      <c r="AL123" s="77"/>
      <c r="AM123" s="77"/>
      <c r="AN123" s="77"/>
      <c r="AO123" s="77"/>
      <c r="AP123" s="77"/>
      <c r="AQ123" s="77"/>
      <c r="AR123" s="77"/>
      <c r="AS123" s="77"/>
      <c r="AT123" s="77"/>
      <c r="AU123" s="77"/>
      <c r="AV123" s="77"/>
      <c r="AW123" s="77"/>
      <c r="AX123" s="77"/>
      <c r="AY123" s="77"/>
      <c r="AZ123" s="77"/>
      <c r="BA123" s="77"/>
      <c r="BB123" s="77"/>
      <c r="BC123" s="77"/>
      <c r="BD123" s="77"/>
      <c r="BE123" s="77"/>
      <c r="BF123" s="77"/>
      <c r="BG123" s="77"/>
      <c r="BH123" s="77"/>
      <c r="BI123" s="77"/>
      <c r="BJ123" s="77"/>
      <c r="BK123" s="77"/>
    </row>
    <row r="124" spans="1:63" x14ac:dyDescent="0.25">
      <c r="B124" s="77"/>
      <c r="C124" s="77"/>
      <c r="D124" s="77"/>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c r="AG124" s="77"/>
      <c r="AH124" s="77"/>
      <c r="AI124" s="77"/>
      <c r="AJ124" s="77"/>
      <c r="AK124" s="77"/>
      <c r="AL124" s="77"/>
      <c r="AM124" s="77"/>
      <c r="AN124" s="77"/>
      <c r="AO124" s="77"/>
      <c r="AP124" s="77"/>
      <c r="AQ124" s="77"/>
      <c r="AR124" s="77"/>
      <c r="AS124" s="77"/>
      <c r="AT124" s="77"/>
      <c r="AU124" s="77"/>
      <c r="AV124" s="77"/>
      <c r="AW124" s="77"/>
      <c r="AX124" s="77"/>
      <c r="AY124" s="77"/>
      <c r="AZ124" s="77"/>
      <c r="BA124" s="77"/>
      <c r="BB124" s="77"/>
      <c r="BC124" s="77"/>
      <c r="BD124" s="77"/>
      <c r="BE124" s="77"/>
      <c r="BF124" s="77"/>
      <c r="BG124" s="77"/>
      <c r="BH124" s="77"/>
      <c r="BI124" s="77"/>
      <c r="BJ124" s="77"/>
      <c r="BK124" s="77"/>
    </row>
    <row r="125" spans="1:63" x14ac:dyDescent="0.25">
      <c r="B125" s="77"/>
      <c r="C125" s="77"/>
      <c r="D125" s="77"/>
      <c r="E125" s="77"/>
      <c r="F125" s="77"/>
      <c r="G125" s="77"/>
      <c r="H125" s="77"/>
      <c r="I125" s="77"/>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c r="AG125" s="77"/>
      <c r="AH125" s="77"/>
      <c r="AI125" s="77"/>
      <c r="AJ125" s="77"/>
      <c r="AK125" s="77"/>
      <c r="AL125" s="77"/>
      <c r="AM125" s="77"/>
      <c r="AN125" s="77"/>
      <c r="AO125" s="77"/>
      <c r="AP125" s="77"/>
      <c r="AQ125" s="77"/>
      <c r="AR125" s="77"/>
      <c r="AS125" s="77"/>
      <c r="AT125" s="77"/>
      <c r="AU125" s="77"/>
      <c r="AV125" s="77"/>
      <c r="AW125" s="77"/>
      <c r="AX125" s="77"/>
      <c r="AY125" s="77"/>
      <c r="AZ125" s="77"/>
      <c r="BA125" s="77"/>
      <c r="BB125" s="77"/>
      <c r="BC125" s="77"/>
      <c r="BD125" s="77"/>
      <c r="BE125" s="77"/>
      <c r="BF125" s="77"/>
      <c r="BG125" s="77"/>
      <c r="BH125" s="77"/>
      <c r="BI125" s="77"/>
      <c r="BJ125" s="77"/>
      <c r="BK125" s="77"/>
    </row>
    <row r="126" spans="1:63" x14ac:dyDescent="0.25">
      <c r="B126" s="77"/>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c r="AA126" s="77"/>
      <c r="AB126" s="77"/>
      <c r="AC126" s="77"/>
      <c r="AD126" s="77"/>
      <c r="AE126" s="77"/>
      <c r="AF126" s="77"/>
      <c r="AG126" s="77"/>
      <c r="AH126" s="77"/>
      <c r="AI126" s="77"/>
      <c r="AJ126" s="77"/>
      <c r="AK126" s="77"/>
      <c r="AL126" s="77"/>
      <c r="AM126" s="77"/>
      <c r="AN126" s="77"/>
      <c r="AO126" s="77"/>
      <c r="AP126" s="77"/>
      <c r="AQ126" s="77"/>
      <c r="AR126" s="77"/>
      <c r="AS126" s="77"/>
      <c r="AT126" s="77"/>
      <c r="AU126" s="77"/>
      <c r="AV126" s="77"/>
      <c r="AW126" s="77"/>
      <c r="AX126" s="77"/>
      <c r="AY126" s="77"/>
      <c r="AZ126" s="77"/>
      <c r="BA126" s="77"/>
      <c r="BB126" s="77"/>
      <c r="BC126" s="77"/>
      <c r="BD126" s="77"/>
      <c r="BE126" s="77"/>
      <c r="BF126" s="77"/>
      <c r="BG126" s="77"/>
      <c r="BH126" s="77"/>
      <c r="BI126" s="77"/>
      <c r="BJ126" s="77"/>
      <c r="BK126" s="77"/>
    </row>
    <row r="127" spans="1:63" x14ac:dyDescent="0.25">
      <c r="B127" s="77"/>
      <c r="C127" s="77"/>
      <c r="D127" s="77"/>
      <c r="E127" s="77"/>
      <c r="F127" s="77"/>
      <c r="G127" s="77"/>
      <c r="H127" s="77"/>
      <c r="I127" s="77"/>
      <c r="J127" s="77"/>
      <c r="K127" s="77"/>
      <c r="L127" s="77"/>
      <c r="M127" s="77"/>
      <c r="N127" s="77"/>
      <c r="O127" s="77"/>
      <c r="P127" s="77"/>
      <c r="Q127" s="77"/>
      <c r="R127" s="77"/>
      <c r="S127" s="77"/>
      <c r="T127" s="77"/>
      <c r="U127" s="77"/>
      <c r="V127" s="77"/>
      <c r="W127" s="77"/>
      <c r="X127" s="77"/>
      <c r="Y127" s="77"/>
      <c r="Z127" s="77"/>
      <c r="AA127" s="77"/>
      <c r="AB127" s="77"/>
      <c r="AC127" s="77"/>
      <c r="AD127" s="77"/>
      <c r="AE127" s="77"/>
      <c r="AF127" s="77"/>
      <c r="AG127" s="77"/>
      <c r="AH127" s="77"/>
      <c r="AI127" s="77"/>
      <c r="AJ127" s="77"/>
      <c r="AK127" s="77"/>
      <c r="AL127" s="77"/>
      <c r="AM127" s="77"/>
      <c r="AN127" s="77"/>
      <c r="AO127" s="77"/>
      <c r="AP127" s="77"/>
      <c r="AQ127" s="77"/>
      <c r="AR127" s="77"/>
      <c r="AS127" s="77"/>
      <c r="AT127" s="77"/>
      <c r="AU127" s="77"/>
      <c r="AV127" s="77"/>
      <c r="AW127" s="77"/>
      <c r="AX127" s="77"/>
      <c r="AY127" s="77"/>
      <c r="AZ127" s="77"/>
      <c r="BA127" s="77"/>
      <c r="BB127" s="77"/>
      <c r="BC127" s="77"/>
      <c r="BD127" s="77"/>
      <c r="BE127" s="77"/>
      <c r="BF127" s="77"/>
      <c r="BG127" s="77"/>
      <c r="BH127" s="77"/>
      <c r="BI127" s="77"/>
      <c r="BJ127" s="77"/>
      <c r="BK127" s="77"/>
    </row>
    <row r="128" spans="1:63" x14ac:dyDescent="0.25">
      <c r="B128" s="77"/>
      <c r="C128" s="77"/>
      <c r="D128" s="77"/>
      <c r="E128" s="77"/>
      <c r="F128" s="77"/>
      <c r="G128" s="77"/>
      <c r="H128" s="77"/>
      <c r="I128" s="77"/>
      <c r="J128" s="77"/>
      <c r="K128" s="77"/>
      <c r="L128" s="77"/>
      <c r="M128" s="77"/>
      <c r="N128" s="77"/>
      <c r="O128" s="77"/>
      <c r="P128" s="77"/>
      <c r="Q128" s="77"/>
      <c r="R128" s="77"/>
      <c r="S128" s="77"/>
      <c r="T128" s="77"/>
      <c r="U128" s="77"/>
      <c r="V128" s="77"/>
      <c r="W128" s="77"/>
      <c r="X128" s="77"/>
      <c r="Y128" s="77"/>
      <c r="Z128" s="77"/>
      <c r="AA128" s="77"/>
      <c r="AB128" s="77"/>
      <c r="AC128" s="77"/>
      <c r="AD128" s="77"/>
      <c r="AE128" s="77"/>
      <c r="AF128" s="77"/>
      <c r="AG128" s="77"/>
      <c r="AH128" s="77"/>
      <c r="AI128" s="77"/>
      <c r="AJ128" s="77"/>
      <c r="AK128" s="77"/>
      <c r="AL128" s="77"/>
      <c r="AM128" s="77"/>
      <c r="AN128" s="77"/>
      <c r="AO128" s="77"/>
      <c r="AP128" s="77"/>
      <c r="AQ128" s="77"/>
      <c r="AR128" s="77"/>
      <c r="AS128" s="77"/>
      <c r="AT128" s="77"/>
      <c r="AU128" s="77"/>
      <c r="AV128" s="77"/>
      <c r="AW128" s="77"/>
      <c r="AX128" s="77"/>
      <c r="AY128" s="77"/>
      <c r="AZ128" s="77"/>
      <c r="BA128" s="77"/>
      <c r="BB128" s="77"/>
      <c r="BC128" s="77"/>
      <c r="BD128" s="77"/>
      <c r="BE128" s="77"/>
      <c r="BF128" s="77"/>
      <c r="BG128" s="77"/>
      <c r="BH128" s="77"/>
      <c r="BI128" s="77"/>
      <c r="BJ128" s="77"/>
      <c r="BK128" s="77"/>
    </row>
    <row r="129" spans="2:63" x14ac:dyDescent="0.25">
      <c r="B129" s="77"/>
      <c r="C129" s="77"/>
      <c r="D129" s="77"/>
      <c r="E129" s="77"/>
      <c r="F129" s="77"/>
      <c r="G129" s="77"/>
      <c r="H129" s="77"/>
      <c r="I129" s="77"/>
      <c r="J129" s="77"/>
      <c r="K129" s="77"/>
      <c r="L129" s="77"/>
      <c r="M129" s="77"/>
      <c r="N129" s="77"/>
      <c r="O129" s="77"/>
      <c r="P129" s="77"/>
      <c r="Q129" s="77"/>
      <c r="R129" s="77"/>
      <c r="S129" s="77"/>
      <c r="T129" s="77"/>
      <c r="U129" s="77"/>
      <c r="V129" s="77"/>
      <c r="W129" s="77"/>
      <c r="X129" s="77"/>
      <c r="Y129" s="77"/>
      <c r="Z129" s="77"/>
      <c r="AA129" s="77"/>
      <c r="AB129" s="77"/>
      <c r="AC129" s="77"/>
      <c r="AD129" s="77"/>
      <c r="AE129" s="77"/>
      <c r="AF129" s="77"/>
      <c r="AG129" s="77"/>
      <c r="AH129" s="77"/>
      <c r="AI129" s="77"/>
      <c r="AJ129" s="77"/>
      <c r="AK129" s="77"/>
      <c r="AL129" s="77"/>
      <c r="AM129" s="77"/>
      <c r="AN129" s="77"/>
      <c r="AO129" s="77"/>
      <c r="AP129" s="77"/>
      <c r="AQ129" s="77"/>
      <c r="AR129" s="77"/>
      <c r="AS129" s="77"/>
      <c r="AT129" s="77"/>
      <c r="AU129" s="77"/>
      <c r="AV129" s="77"/>
      <c r="AW129" s="77"/>
      <c r="AX129" s="77"/>
      <c r="AY129" s="77"/>
      <c r="AZ129" s="77"/>
      <c r="BA129" s="77"/>
      <c r="BB129" s="77"/>
      <c r="BC129" s="77"/>
      <c r="BD129" s="77"/>
      <c r="BE129" s="77"/>
      <c r="BF129" s="77"/>
      <c r="BG129" s="77"/>
      <c r="BH129" s="77"/>
      <c r="BI129" s="77"/>
      <c r="BJ129" s="77"/>
      <c r="BK129" s="77"/>
    </row>
    <row r="130" spans="2:63" x14ac:dyDescent="0.25">
      <c r="B130" s="77"/>
      <c r="C130" s="77"/>
      <c r="D130" s="77"/>
      <c r="E130" s="77"/>
      <c r="F130" s="77"/>
      <c r="G130" s="77"/>
      <c r="H130" s="77"/>
      <c r="I130" s="77"/>
      <c r="J130" s="77"/>
      <c r="K130" s="77"/>
      <c r="L130" s="77"/>
      <c r="M130" s="77"/>
      <c r="N130" s="77"/>
      <c r="O130" s="77"/>
      <c r="P130" s="77"/>
      <c r="Q130" s="77"/>
      <c r="R130" s="77"/>
      <c r="S130" s="77"/>
      <c r="T130" s="77"/>
      <c r="U130" s="77"/>
      <c r="V130" s="77"/>
      <c r="W130" s="77"/>
      <c r="X130" s="77"/>
      <c r="Y130" s="77"/>
      <c r="Z130" s="77"/>
      <c r="AA130" s="77"/>
      <c r="AB130" s="77"/>
      <c r="AC130" s="77"/>
      <c r="AD130" s="77"/>
      <c r="AE130" s="77"/>
      <c r="AF130" s="77"/>
      <c r="AG130" s="77"/>
      <c r="AH130" s="77"/>
      <c r="AI130" s="77"/>
      <c r="AJ130" s="77"/>
      <c r="AK130" s="77"/>
      <c r="AL130" s="77"/>
      <c r="AM130" s="77"/>
      <c r="AN130" s="77"/>
      <c r="AO130" s="77"/>
      <c r="AP130" s="77"/>
      <c r="AQ130" s="77"/>
      <c r="AR130" s="77"/>
      <c r="AS130" s="77"/>
      <c r="AT130" s="77"/>
      <c r="AU130" s="77"/>
      <c r="AV130" s="77"/>
      <c r="AW130" s="77"/>
      <c r="AX130" s="77"/>
      <c r="AY130" s="77"/>
      <c r="AZ130" s="77"/>
      <c r="BA130" s="77"/>
      <c r="BB130" s="77"/>
      <c r="BC130" s="77"/>
      <c r="BD130" s="77"/>
      <c r="BE130" s="77"/>
      <c r="BF130" s="77"/>
      <c r="BG130" s="77"/>
      <c r="BH130" s="77"/>
      <c r="BI130" s="77"/>
      <c r="BJ130" s="77"/>
      <c r="BK130" s="77"/>
    </row>
    <row r="131" spans="2:63" x14ac:dyDescent="0.25">
      <c r="B131" s="77"/>
      <c r="C131" s="77"/>
      <c r="D131" s="77"/>
      <c r="E131" s="77"/>
      <c r="F131" s="77"/>
      <c r="G131" s="77"/>
      <c r="H131" s="77"/>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c r="AG131" s="77"/>
      <c r="AH131" s="77"/>
      <c r="AI131" s="77"/>
      <c r="AJ131" s="77"/>
      <c r="AK131" s="77"/>
      <c r="AL131" s="77"/>
      <c r="AM131" s="77"/>
      <c r="AN131" s="77"/>
      <c r="AO131" s="77"/>
      <c r="AP131" s="77"/>
      <c r="AQ131" s="77"/>
      <c r="AR131" s="77"/>
      <c r="AS131" s="77"/>
      <c r="AT131" s="77"/>
      <c r="AU131" s="77"/>
      <c r="AV131" s="77"/>
      <c r="AW131" s="77"/>
      <c r="AX131" s="77"/>
      <c r="AY131" s="77"/>
      <c r="AZ131" s="77"/>
      <c r="BA131" s="77"/>
      <c r="BB131" s="77"/>
      <c r="BC131" s="77"/>
      <c r="BD131" s="77"/>
      <c r="BE131" s="77"/>
      <c r="BF131" s="77"/>
      <c r="BG131" s="77"/>
      <c r="BH131" s="77"/>
      <c r="BI131" s="77"/>
      <c r="BJ131" s="77"/>
      <c r="BK131" s="77"/>
    </row>
    <row r="132" spans="2:63" x14ac:dyDescent="0.25">
      <c r="B132" s="77"/>
      <c r="C132" s="77"/>
      <c r="D132" s="77"/>
      <c r="E132" s="77"/>
      <c r="F132" s="77"/>
      <c r="G132" s="77"/>
      <c r="H132" s="77"/>
      <c r="I132" s="77"/>
      <c r="J132" s="77"/>
      <c r="K132" s="77"/>
      <c r="L132" s="77"/>
      <c r="M132" s="77"/>
      <c r="N132" s="77"/>
      <c r="O132" s="77"/>
      <c r="P132" s="77"/>
      <c r="Q132" s="77"/>
      <c r="R132" s="77"/>
      <c r="S132" s="77"/>
      <c r="T132" s="77"/>
      <c r="U132" s="77"/>
      <c r="V132" s="77"/>
      <c r="W132" s="77"/>
      <c r="X132" s="77"/>
      <c r="Y132" s="77"/>
      <c r="Z132" s="77"/>
      <c r="AA132" s="77"/>
      <c r="AB132" s="77"/>
      <c r="AC132" s="77"/>
      <c r="AD132" s="77"/>
      <c r="AE132" s="77"/>
      <c r="AF132" s="77"/>
      <c r="AG132" s="77"/>
      <c r="AH132" s="77"/>
      <c r="AI132" s="77"/>
      <c r="AJ132" s="77"/>
      <c r="AK132" s="77"/>
      <c r="AL132" s="77"/>
      <c r="AM132" s="77"/>
      <c r="AN132" s="77"/>
      <c r="AO132" s="77"/>
      <c r="AP132" s="77"/>
      <c r="AQ132" s="77"/>
      <c r="AR132" s="77"/>
      <c r="AS132" s="77"/>
      <c r="AT132" s="77"/>
      <c r="AU132" s="77"/>
      <c r="AV132" s="77"/>
      <c r="AW132" s="77"/>
      <c r="AX132" s="77"/>
      <c r="AY132" s="77"/>
      <c r="AZ132" s="77"/>
      <c r="BA132" s="77"/>
      <c r="BB132" s="77"/>
      <c r="BC132" s="77"/>
      <c r="BD132" s="77"/>
      <c r="BE132" s="77"/>
      <c r="BF132" s="77"/>
      <c r="BG132" s="77"/>
      <c r="BH132" s="77"/>
      <c r="BI132" s="77"/>
      <c r="BJ132" s="77"/>
      <c r="BK132" s="77"/>
    </row>
    <row r="133" spans="2:63" x14ac:dyDescent="0.25">
      <c r="B133" s="77"/>
      <c r="C133" s="77"/>
      <c r="D133" s="77"/>
      <c r="E133" s="77"/>
      <c r="F133" s="77"/>
      <c r="G133" s="77"/>
      <c r="H133" s="77"/>
      <c r="I133" s="77"/>
      <c r="J133" s="77"/>
      <c r="K133" s="77"/>
      <c r="L133" s="77"/>
      <c r="M133" s="77"/>
      <c r="N133" s="77"/>
      <c r="O133" s="77"/>
      <c r="P133" s="77"/>
      <c r="Q133" s="77"/>
      <c r="R133" s="77"/>
      <c r="S133" s="77"/>
      <c r="T133" s="77"/>
      <c r="U133" s="77"/>
      <c r="V133" s="77"/>
      <c r="W133" s="77"/>
      <c r="X133" s="77"/>
      <c r="Y133" s="77"/>
      <c r="Z133" s="77"/>
      <c r="AA133" s="77"/>
      <c r="AB133" s="77"/>
      <c r="AC133" s="77"/>
      <c r="AD133" s="77"/>
      <c r="AE133" s="77"/>
      <c r="AF133" s="77"/>
      <c r="AG133" s="77"/>
      <c r="AH133" s="77"/>
      <c r="AI133" s="77"/>
      <c r="AJ133" s="77"/>
      <c r="AK133" s="77"/>
      <c r="AL133" s="77"/>
      <c r="AM133" s="77"/>
      <c r="AN133" s="77"/>
      <c r="AO133" s="77"/>
      <c r="AP133" s="77"/>
      <c r="AQ133" s="77"/>
      <c r="AR133" s="77"/>
      <c r="AS133" s="77"/>
      <c r="AT133" s="77"/>
      <c r="AU133" s="77"/>
      <c r="AV133" s="77"/>
      <c r="AW133" s="77"/>
      <c r="AX133" s="77"/>
      <c r="AY133" s="77"/>
      <c r="AZ133" s="77"/>
      <c r="BA133" s="77"/>
      <c r="BB133" s="77"/>
      <c r="BC133" s="77"/>
      <c r="BD133" s="77"/>
      <c r="BE133" s="77"/>
      <c r="BF133" s="77"/>
      <c r="BG133" s="77"/>
      <c r="BH133" s="77"/>
      <c r="BI133" s="77"/>
      <c r="BJ133" s="77"/>
      <c r="BK133" s="77"/>
    </row>
    <row r="134" spans="2:63" x14ac:dyDescent="0.25">
      <c r="B134" s="77"/>
      <c r="C134" s="77"/>
      <c r="D134" s="77"/>
      <c r="E134" s="77"/>
      <c r="F134" s="77"/>
      <c r="G134" s="77"/>
      <c r="H134" s="77"/>
      <c r="I134" s="77"/>
      <c r="J134" s="77"/>
      <c r="K134" s="77"/>
      <c r="L134" s="77"/>
      <c r="M134" s="77"/>
      <c r="N134" s="77"/>
      <c r="O134" s="77"/>
      <c r="P134" s="77"/>
      <c r="Q134" s="77"/>
      <c r="R134" s="77"/>
      <c r="S134" s="77"/>
      <c r="T134" s="77"/>
      <c r="U134" s="77"/>
      <c r="V134" s="77"/>
      <c r="W134" s="77"/>
      <c r="X134" s="77"/>
      <c r="Y134" s="77"/>
      <c r="Z134" s="77"/>
      <c r="AA134" s="77"/>
      <c r="AB134" s="77"/>
      <c r="AC134" s="77"/>
      <c r="AD134" s="77"/>
      <c r="AE134" s="77"/>
      <c r="AF134" s="77"/>
      <c r="AG134" s="77"/>
      <c r="AH134" s="77"/>
      <c r="AI134" s="77"/>
      <c r="AJ134" s="77"/>
      <c r="AK134" s="77"/>
      <c r="AL134" s="77"/>
      <c r="AM134" s="77"/>
      <c r="AN134" s="77"/>
      <c r="AO134" s="77"/>
      <c r="AP134" s="77"/>
      <c r="AQ134" s="77"/>
      <c r="AR134" s="77"/>
      <c r="AS134" s="77"/>
      <c r="AT134" s="77"/>
      <c r="AU134" s="77"/>
      <c r="AV134" s="77"/>
      <c r="AW134" s="77"/>
      <c r="AX134" s="77"/>
      <c r="AY134" s="77"/>
      <c r="AZ134" s="77"/>
      <c r="BA134" s="77"/>
      <c r="BB134" s="77"/>
      <c r="BC134" s="77"/>
      <c r="BD134" s="77"/>
      <c r="BE134" s="77"/>
      <c r="BF134" s="77"/>
      <c r="BG134" s="77"/>
      <c r="BH134" s="77"/>
      <c r="BI134" s="77"/>
      <c r="BJ134" s="77"/>
      <c r="BK134" s="77"/>
    </row>
    <row r="135" spans="2:63" x14ac:dyDescent="0.25">
      <c r="B135" s="77"/>
      <c r="C135" s="77"/>
      <c r="D135" s="77"/>
      <c r="E135" s="77"/>
      <c r="F135" s="77"/>
      <c r="G135" s="77"/>
      <c r="H135" s="77"/>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c r="AG135" s="77"/>
      <c r="AH135" s="77"/>
      <c r="AI135" s="77"/>
      <c r="AJ135" s="77"/>
      <c r="AK135" s="77"/>
      <c r="AL135" s="77"/>
      <c r="AM135" s="77"/>
      <c r="AN135" s="77"/>
      <c r="AO135" s="77"/>
      <c r="AP135" s="77"/>
      <c r="AQ135" s="77"/>
      <c r="AR135" s="77"/>
      <c r="AS135" s="77"/>
      <c r="AT135" s="77"/>
      <c r="AU135" s="77"/>
      <c r="AV135" s="77"/>
      <c r="AW135" s="77"/>
      <c r="AX135" s="77"/>
      <c r="AY135" s="77"/>
      <c r="AZ135" s="77"/>
      <c r="BA135" s="77"/>
      <c r="BB135" s="77"/>
      <c r="BC135" s="77"/>
      <c r="BD135" s="77"/>
      <c r="BE135" s="77"/>
      <c r="BF135" s="77"/>
      <c r="BG135" s="77"/>
      <c r="BH135" s="77"/>
      <c r="BI135" s="77"/>
      <c r="BJ135" s="77"/>
      <c r="BK135" s="77"/>
    </row>
    <row r="136" spans="2:63" x14ac:dyDescent="0.25">
      <c r="B136" s="77"/>
      <c r="C136" s="77"/>
      <c r="D136" s="77"/>
      <c r="E136" s="77"/>
      <c r="F136" s="77"/>
      <c r="G136" s="77"/>
      <c r="H136" s="77"/>
      <c r="I136" s="77"/>
      <c r="J136" s="77"/>
      <c r="K136" s="77"/>
      <c r="L136" s="77"/>
      <c r="M136" s="77"/>
      <c r="N136" s="77"/>
      <c r="O136" s="77"/>
      <c r="P136" s="77"/>
      <c r="Q136" s="77"/>
      <c r="R136" s="77"/>
      <c r="S136" s="77"/>
      <c r="T136" s="77"/>
      <c r="U136" s="77"/>
      <c r="V136" s="77"/>
      <c r="W136" s="77"/>
      <c r="X136" s="77"/>
      <c r="Y136" s="77"/>
      <c r="Z136" s="77"/>
      <c r="AA136" s="77"/>
      <c r="AB136" s="77"/>
      <c r="AC136" s="77"/>
      <c r="AD136" s="77"/>
      <c r="AE136" s="77"/>
      <c r="AF136" s="77"/>
      <c r="AG136" s="77"/>
      <c r="AH136" s="77"/>
      <c r="AI136" s="77"/>
      <c r="AJ136" s="77"/>
      <c r="AK136" s="77"/>
      <c r="AL136" s="77"/>
      <c r="AM136" s="77"/>
      <c r="AN136" s="77"/>
      <c r="AO136" s="77"/>
      <c r="AP136" s="77"/>
      <c r="AQ136" s="77"/>
      <c r="AR136" s="77"/>
      <c r="AS136" s="77"/>
      <c r="AT136" s="77"/>
      <c r="AU136" s="77"/>
      <c r="AV136" s="77"/>
      <c r="AW136" s="77"/>
      <c r="AX136" s="77"/>
      <c r="AY136" s="77"/>
      <c r="AZ136" s="77"/>
      <c r="BA136" s="77"/>
      <c r="BB136" s="77"/>
      <c r="BC136" s="77"/>
      <c r="BD136" s="77"/>
      <c r="BE136" s="77"/>
      <c r="BF136" s="77"/>
      <c r="BG136" s="77"/>
      <c r="BH136" s="77"/>
      <c r="BI136" s="77"/>
      <c r="BJ136" s="77"/>
      <c r="BK136" s="77"/>
    </row>
    <row r="137" spans="2:63" x14ac:dyDescent="0.25">
      <c r="B137" s="77"/>
      <c r="C137" s="77"/>
      <c r="D137" s="77"/>
      <c r="E137" s="77"/>
      <c r="F137" s="77"/>
      <c r="G137" s="77"/>
      <c r="H137" s="77"/>
      <c r="I137" s="77"/>
    </row>
    <row r="138" spans="2:63" x14ac:dyDescent="0.25">
      <c r="B138" s="77"/>
      <c r="C138" s="77"/>
      <c r="D138" s="77"/>
      <c r="E138" s="77"/>
      <c r="F138" s="77"/>
      <c r="G138" s="77"/>
      <c r="H138" s="77"/>
      <c r="I138" s="77"/>
    </row>
    <row r="139" spans="2:63" x14ac:dyDescent="0.25">
      <c r="B139" s="77"/>
      <c r="C139" s="77"/>
      <c r="D139" s="77"/>
      <c r="E139" s="77"/>
      <c r="F139" s="77"/>
      <c r="G139" s="77"/>
      <c r="H139" s="77"/>
      <c r="I139" s="77"/>
    </row>
    <row r="140" spans="2:63" x14ac:dyDescent="0.25">
      <c r="B140" s="77"/>
      <c r="C140" s="77"/>
      <c r="D140" s="77"/>
      <c r="E140" s="77"/>
      <c r="F140" s="77"/>
      <c r="G140" s="77"/>
      <c r="H140" s="77"/>
      <c r="I140" s="77"/>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topLeftCell="A40" zoomScale="50" zoomScaleNormal="50" workbookViewId="0">
      <selection activeCell="X40" sqref="X40"/>
    </sheetView>
  </sheetViews>
  <sheetFormatPr baseColWidth="10"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77"/>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row>
    <row r="2" spans="1:91" ht="18" customHeight="1" x14ac:dyDescent="0.25">
      <c r="A2" s="77"/>
      <c r="B2" s="424" t="s">
        <v>135</v>
      </c>
      <c r="C2" s="425"/>
      <c r="D2" s="425"/>
      <c r="E2" s="425"/>
      <c r="F2" s="425"/>
      <c r="G2" s="425"/>
      <c r="H2" s="425"/>
      <c r="I2" s="425"/>
      <c r="J2" s="364" t="s">
        <v>2</v>
      </c>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c r="CI2" s="77"/>
      <c r="CJ2" s="77"/>
      <c r="CK2" s="77"/>
      <c r="CL2" s="77"/>
      <c r="CM2" s="77"/>
    </row>
    <row r="3" spans="1:91" ht="18.75" customHeight="1" x14ac:dyDescent="0.25">
      <c r="A3" s="77"/>
      <c r="B3" s="425"/>
      <c r="C3" s="425"/>
      <c r="D3" s="425"/>
      <c r="E3" s="425"/>
      <c r="F3" s="425"/>
      <c r="G3" s="425"/>
      <c r="H3" s="425"/>
      <c r="I3" s="425"/>
      <c r="J3" s="364"/>
      <c r="K3" s="364"/>
      <c r="L3" s="364"/>
      <c r="M3" s="364"/>
      <c r="N3" s="364"/>
      <c r="O3" s="364"/>
      <c r="P3" s="364"/>
      <c r="Q3" s="364"/>
      <c r="R3" s="364"/>
      <c r="S3" s="364"/>
      <c r="T3" s="364"/>
      <c r="U3" s="364"/>
      <c r="V3" s="364"/>
      <c r="W3" s="364"/>
      <c r="X3" s="364"/>
      <c r="Y3" s="364"/>
      <c r="Z3" s="364"/>
      <c r="AA3" s="364"/>
      <c r="AB3" s="364"/>
      <c r="AC3" s="364"/>
      <c r="AD3" s="364"/>
      <c r="AE3" s="364"/>
      <c r="AF3" s="364"/>
      <c r="AG3" s="364"/>
      <c r="AH3" s="364"/>
      <c r="AI3" s="364"/>
      <c r="AJ3" s="364"/>
      <c r="AK3" s="364"/>
      <c r="AL3" s="364"/>
      <c r="AM3" s="364"/>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row>
    <row r="4" spans="1:91" ht="15" customHeight="1" x14ac:dyDescent="0.25">
      <c r="A4" s="77"/>
      <c r="B4" s="425"/>
      <c r="C4" s="425"/>
      <c r="D4" s="425"/>
      <c r="E4" s="425"/>
      <c r="F4" s="425"/>
      <c r="G4" s="425"/>
      <c r="H4" s="425"/>
      <c r="I4" s="425"/>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row>
    <row r="5" spans="1:91" ht="15.75" thickBot="1" x14ac:dyDescent="0.3">
      <c r="A5" s="77"/>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row>
    <row r="6" spans="1:91" ht="15" customHeight="1" x14ac:dyDescent="0.25">
      <c r="A6" s="77"/>
      <c r="B6" s="310" t="s">
        <v>4</v>
      </c>
      <c r="C6" s="310"/>
      <c r="D6" s="311"/>
      <c r="E6" s="407" t="s">
        <v>97</v>
      </c>
      <c r="F6" s="408"/>
      <c r="G6" s="408"/>
      <c r="H6" s="408"/>
      <c r="I6" s="426"/>
      <c r="J6" s="39" t="str">
        <f>IF(AND('MAPA V5 2022'!$AA$7="Muy Alta",'MAPA V5 2022'!$AC$7="Leve"),CONCATENATE("R1C",'MAPA V5 2022'!$Q$7),"")</f>
        <v/>
      </c>
      <c r="K6" s="40" t="str">
        <f>IF(AND('MAPA V5 2022'!$AA$10="Muy Alta",'MAPA V5 2022'!$AC$10="Leve"),CONCATENATE("R1C",'MAPA V5 2022'!$Q$10),"")</f>
        <v/>
      </c>
      <c r="L6" s="40" t="str">
        <f>IF(AND('MAPA V5 2022'!$AA$11="Muy Alta",'MAPA V5 2022'!$AC$11="Leve"),CONCATENATE("R1C",'MAPA V5 2022'!$Q$11),"")</f>
        <v/>
      </c>
      <c r="M6" s="40" t="e">
        <f>IF(AND('MAPA V5 2022'!#REF!="Muy Alta",'MAPA V5 2022'!#REF!="Leve"),CONCATENATE("R1C",'MAPA V5 2022'!#REF!),"")</f>
        <v>#REF!</v>
      </c>
      <c r="N6" s="40" t="e">
        <f>IF(AND('MAPA V5 2022'!#REF!="Muy Alta",'MAPA V5 2022'!#REF!="Leve"),CONCATENATE("R1C",'MAPA V5 2022'!#REF!),"")</f>
        <v>#REF!</v>
      </c>
      <c r="O6" s="41" t="e">
        <f>IF(AND('MAPA V5 2022'!#REF!="Muy Alta",'MAPA V5 2022'!#REF!="Leve"),CONCATENATE("R1C",'MAPA V5 2022'!#REF!),"")</f>
        <v>#REF!</v>
      </c>
      <c r="P6" s="39" t="str">
        <f>IF(AND('MAPA V5 2022'!$AA$7="Muy Alta",'MAPA V5 2022'!$AC$7="Menor"),CONCATENATE("R1C",'MAPA V5 2022'!$Q$7),"")</f>
        <v/>
      </c>
      <c r="Q6" s="40" t="str">
        <f>IF(AND('MAPA V5 2022'!$AA$10="Muy Alta",'MAPA V5 2022'!$AC$10="Menor"),CONCATENATE("R1C",'MAPA V5 2022'!$Q$10),"")</f>
        <v/>
      </c>
      <c r="R6" s="40" t="str">
        <f>IF(AND('MAPA V5 2022'!$AA$11="Muy Alta",'MAPA V5 2022'!$AC$11="Menor"),CONCATENATE("R1C",'MAPA V5 2022'!$Q$11),"")</f>
        <v/>
      </c>
      <c r="S6" s="40" t="e">
        <f>IF(AND('MAPA V5 2022'!#REF!="Muy Alta",'MAPA V5 2022'!#REF!="Menor"),CONCATENATE("R1C",'MAPA V5 2022'!#REF!),"")</f>
        <v>#REF!</v>
      </c>
      <c r="T6" s="40" t="e">
        <f>IF(AND('MAPA V5 2022'!#REF!="Muy Alta",'MAPA V5 2022'!#REF!="Menor"),CONCATENATE("R1C",'MAPA V5 2022'!#REF!),"")</f>
        <v>#REF!</v>
      </c>
      <c r="U6" s="41" t="e">
        <f>IF(AND('MAPA V5 2022'!#REF!="Muy Alta",'MAPA V5 2022'!#REF!="Menor"),CONCATENATE("R1C",'MAPA V5 2022'!#REF!),"")</f>
        <v>#REF!</v>
      </c>
      <c r="V6" s="39" t="str">
        <f>IF(AND('MAPA V5 2022'!$AA$7="Muy Alta",'MAPA V5 2022'!$AC$7="Moderado"),CONCATENATE("R1C",'MAPA V5 2022'!$Q$7),"")</f>
        <v/>
      </c>
      <c r="W6" s="40" t="str">
        <f>IF(AND('MAPA V5 2022'!$AA$10="Muy Alta",'MAPA V5 2022'!$AC$10="Moderado"),CONCATENATE("R1C",'MAPA V5 2022'!$Q$10),"")</f>
        <v/>
      </c>
      <c r="X6" s="40" t="str">
        <f>IF(AND('MAPA V5 2022'!$AA$11="Muy Alta",'MAPA V5 2022'!$AC$11="Moderado"),CONCATENATE("R1C",'MAPA V5 2022'!$Q$11),"")</f>
        <v/>
      </c>
      <c r="Y6" s="40" t="e">
        <f>IF(AND('MAPA V5 2022'!#REF!="Muy Alta",'MAPA V5 2022'!#REF!="Moderado"),CONCATENATE("R1C",'MAPA V5 2022'!#REF!),"")</f>
        <v>#REF!</v>
      </c>
      <c r="Z6" s="40" t="e">
        <f>IF(AND('MAPA V5 2022'!#REF!="Muy Alta",'MAPA V5 2022'!#REF!="Moderado"),CONCATENATE("R1C",'MAPA V5 2022'!#REF!),"")</f>
        <v>#REF!</v>
      </c>
      <c r="AA6" s="41" t="e">
        <f>IF(AND('MAPA V5 2022'!#REF!="Muy Alta",'MAPA V5 2022'!#REF!="Moderado"),CONCATENATE("R1C",'MAPA V5 2022'!#REF!),"")</f>
        <v>#REF!</v>
      </c>
      <c r="AB6" s="39" t="str">
        <f>IF(AND('MAPA V5 2022'!$AA$7="Muy Alta",'MAPA V5 2022'!$AC$7="Mayor"),CONCATENATE("R1C",'MAPA V5 2022'!$Q$7),"")</f>
        <v/>
      </c>
      <c r="AC6" s="40" t="str">
        <f>IF(AND('MAPA V5 2022'!$AA$10="Muy Alta",'MAPA V5 2022'!$AC$10="Mayor"),CONCATENATE("R1C",'MAPA V5 2022'!$Q$10),"")</f>
        <v/>
      </c>
      <c r="AD6" s="40" t="str">
        <f>IF(AND('MAPA V5 2022'!$AA$11="Muy Alta",'MAPA V5 2022'!$AC$11="Mayor"),CONCATENATE("R1C",'MAPA V5 2022'!$Q$11),"")</f>
        <v/>
      </c>
      <c r="AE6" s="40" t="e">
        <f>IF(AND('MAPA V5 2022'!#REF!="Muy Alta",'MAPA V5 2022'!#REF!="Mayor"),CONCATENATE("R1C",'MAPA V5 2022'!#REF!),"")</f>
        <v>#REF!</v>
      </c>
      <c r="AF6" s="40" t="e">
        <f>IF(AND('MAPA V5 2022'!#REF!="Muy Alta",'MAPA V5 2022'!#REF!="Mayor"),CONCATENATE("R1C",'MAPA V5 2022'!#REF!),"")</f>
        <v>#REF!</v>
      </c>
      <c r="AG6" s="41" t="e">
        <f>IF(AND('MAPA V5 2022'!#REF!="Muy Alta",'MAPA V5 2022'!#REF!="Mayor"),CONCATENATE("R1C",'MAPA V5 2022'!#REF!),"")</f>
        <v>#REF!</v>
      </c>
      <c r="AH6" s="42" t="str">
        <f>IF(AND('MAPA V5 2022'!$AA$7="Muy Alta",'MAPA V5 2022'!$AC$7="Catastrófico"),CONCATENATE("R1C",'MAPA V5 2022'!$Q$7),"")</f>
        <v/>
      </c>
      <c r="AI6" s="43" t="str">
        <f>IF(AND('MAPA V5 2022'!$AA$10="Muy Alta",'MAPA V5 2022'!$AC$10="Catastrófico"),CONCATENATE("R1C",'MAPA V5 2022'!$Q$10),"")</f>
        <v/>
      </c>
      <c r="AJ6" s="43" t="str">
        <f>IF(AND('MAPA V5 2022'!$AA$11="Muy Alta",'MAPA V5 2022'!$AC$11="Catastrófico"),CONCATENATE("R1C",'MAPA V5 2022'!$Q$11),"")</f>
        <v/>
      </c>
      <c r="AK6" s="43" t="e">
        <f>IF(AND('MAPA V5 2022'!#REF!="Muy Alta",'MAPA V5 2022'!#REF!="Catastrófico"),CONCATENATE("R1C",'MAPA V5 2022'!#REF!),"")</f>
        <v>#REF!</v>
      </c>
      <c r="AL6" s="43" t="e">
        <f>IF(AND('MAPA V5 2022'!#REF!="Muy Alta",'MAPA V5 2022'!#REF!="Catastrófico"),CONCATENATE("R1C",'MAPA V5 2022'!#REF!),"")</f>
        <v>#REF!</v>
      </c>
      <c r="AM6" s="44" t="e">
        <f>IF(AND('MAPA V5 2022'!#REF!="Muy Alta",'MAPA V5 2022'!#REF!="Catastrófico"),CONCATENATE("R1C",'MAPA V5 2022'!#REF!),"")</f>
        <v>#REF!</v>
      </c>
      <c r="AN6" s="77"/>
      <c r="AO6" s="415" t="s">
        <v>63</v>
      </c>
      <c r="AP6" s="416"/>
      <c r="AQ6" s="416"/>
      <c r="AR6" s="416"/>
      <c r="AS6" s="416"/>
      <c r="AT6" s="41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row>
    <row r="7" spans="1:91" ht="15" customHeight="1" x14ac:dyDescent="0.25">
      <c r="A7" s="77"/>
      <c r="B7" s="310"/>
      <c r="C7" s="310"/>
      <c r="D7" s="311"/>
      <c r="E7" s="411"/>
      <c r="F7" s="412"/>
      <c r="G7" s="412"/>
      <c r="H7" s="412"/>
      <c r="I7" s="427"/>
      <c r="J7" s="45" t="str">
        <f>IF(AND('MAPA V5 2022'!$AA$12="Muy Alta",'MAPA V5 2022'!$AC$12="Leve"),CONCATENATE("R2C",'MAPA V5 2022'!$Q$12),"")</f>
        <v/>
      </c>
      <c r="K7" s="46" t="str">
        <f>IF(AND('MAPA V5 2022'!$AA$13="Muy Alta",'MAPA V5 2022'!$AC$13="Leve"),CONCATENATE("R2C",'MAPA V5 2022'!$Q$13),"")</f>
        <v/>
      </c>
      <c r="L7" s="46" t="str">
        <f>IF(AND('MAPA V5 2022'!$AA$14="Muy Alta",'MAPA V5 2022'!$AC$14="Leve"),CONCATENATE("R2C",'MAPA V5 2022'!$Q$14),"")</f>
        <v/>
      </c>
      <c r="M7" s="46" t="str">
        <f>IF(AND('MAPA V5 2022'!$AA$15="Muy Alta",'MAPA V5 2022'!$AC$15="Leve"),CONCATENATE("R2C",'MAPA V5 2022'!$Q$15),"")</f>
        <v/>
      </c>
      <c r="N7" s="46" t="str">
        <f>IF(AND('MAPA V5 2022'!$AA$17="Muy Alta",'MAPA V5 2022'!$AC$17="Leve"),CONCATENATE("R2C",'MAPA V5 2022'!$Q$17),"")</f>
        <v/>
      </c>
      <c r="O7" s="47" t="e">
        <f>IF(AND('MAPA V5 2022'!#REF!="Muy Alta",'MAPA V5 2022'!#REF!="Leve"),CONCATENATE("R2C",'MAPA V5 2022'!#REF!),"")</f>
        <v>#REF!</v>
      </c>
      <c r="P7" s="45" t="str">
        <f>IF(AND('MAPA V5 2022'!$AA$12="Muy Alta",'MAPA V5 2022'!$AC$12="Menor"),CONCATENATE("R2C",'MAPA V5 2022'!$Q$12),"")</f>
        <v/>
      </c>
      <c r="Q7" s="46" t="str">
        <f>IF(AND('MAPA V5 2022'!$AA$13="Muy Alta",'MAPA V5 2022'!$AC$13="Menor"),CONCATENATE("R2C",'MAPA V5 2022'!$Q$13),"")</f>
        <v/>
      </c>
      <c r="R7" s="46" t="str">
        <f>IF(AND('MAPA V5 2022'!$AA$14="Muy Alta",'MAPA V5 2022'!$AC$14="Menor"),CONCATENATE("R2C",'MAPA V5 2022'!$Q$14),"")</f>
        <v/>
      </c>
      <c r="S7" s="46" t="str">
        <f>IF(AND('MAPA V5 2022'!$AA$15="Muy Alta",'MAPA V5 2022'!$AC$15="Menor"),CONCATENATE("R2C",'MAPA V5 2022'!$Q$15),"")</f>
        <v/>
      </c>
      <c r="T7" s="46" t="str">
        <f>IF(AND('MAPA V5 2022'!$AA$17="Muy Alta",'MAPA V5 2022'!$AC$17="Menor"),CONCATENATE("R2C",'MAPA V5 2022'!$Q$17),"")</f>
        <v/>
      </c>
      <c r="U7" s="47" t="e">
        <f>IF(AND('MAPA V5 2022'!#REF!="Muy Alta",'MAPA V5 2022'!#REF!="Menor"),CONCATENATE("R2C",'MAPA V5 2022'!#REF!),"")</f>
        <v>#REF!</v>
      </c>
      <c r="V7" s="45" t="str">
        <f>IF(AND('MAPA V5 2022'!$AA$12="Muy Alta",'MAPA V5 2022'!$AC$12="Moderado"),CONCATENATE("R2C",'MAPA V5 2022'!$Q$12),"")</f>
        <v/>
      </c>
      <c r="W7" s="46" t="str">
        <f>IF(AND('MAPA V5 2022'!$AA$13="Muy Alta",'MAPA V5 2022'!$AC$13="Moderado"),CONCATENATE("R2C",'MAPA V5 2022'!$Q$13),"")</f>
        <v/>
      </c>
      <c r="X7" s="46" t="str">
        <f>IF(AND('MAPA V5 2022'!$AA$14="Muy Alta",'MAPA V5 2022'!$AC$14="Moderado"),CONCATENATE("R2C",'MAPA V5 2022'!$Q$14),"")</f>
        <v/>
      </c>
      <c r="Y7" s="46" t="str">
        <f>IF(AND('MAPA V5 2022'!$AA$15="Muy Alta",'MAPA V5 2022'!$AC$15="Moderado"),CONCATENATE("R2C",'MAPA V5 2022'!$Q$15),"")</f>
        <v/>
      </c>
      <c r="Z7" s="46" t="str">
        <f>IF(AND('MAPA V5 2022'!$AA$17="Muy Alta",'MAPA V5 2022'!$AC$17="Moderado"),CONCATENATE("R2C",'MAPA V5 2022'!$Q$17),"")</f>
        <v/>
      </c>
      <c r="AA7" s="47" t="e">
        <f>IF(AND('MAPA V5 2022'!#REF!="Muy Alta",'MAPA V5 2022'!#REF!="Moderado"),CONCATENATE("R2C",'MAPA V5 2022'!#REF!),"")</f>
        <v>#REF!</v>
      </c>
      <c r="AB7" s="45" t="str">
        <f>IF(AND('MAPA V5 2022'!$AA$12="Muy Alta",'MAPA V5 2022'!$AC$12="Mayor"),CONCATENATE("R2C",'MAPA V5 2022'!$Q$12),"")</f>
        <v/>
      </c>
      <c r="AC7" s="46" t="str">
        <f>IF(AND('MAPA V5 2022'!$AA$13="Muy Alta",'MAPA V5 2022'!$AC$13="Mayor"),CONCATENATE("R2C",'MAPA V5 2022'!$Q$13),"")</f>
        <v/>
      </c>
      <c r="AD7" s="46" t="str">
        <f>IF(AND('MAPA V5 2022'!$AA$14="Muy Alta",'MAPA V5 2022'!$AC$14="Mayor"),CONCATENATE("R2C",'MAPA V5 2022'!$Q$14),"")</f>
        <v/>
      </c>
      <c r="AE7" s="46" t="str">
        <f>IF(AND('MAPA V5 2022'!$AA$15="Muy Alta",'MAPA V5 2022'!$AC$15="Mayor"),CONCATENATE("R2C",'MAPA V5 2022'!$Q$15),"")</f>
        <v/>
      </c>
      <c r="AF7" s="46" t="str">
        <f>IF(AND('MAPA V5 2022'!$AA$17="Muy Alta",'MAPA V5 2022'!$AC$17="Mayor"),CONCATENATE("R2C",'MAPA V5 2022'!$Q$17),"")</f>
        <v/>
      </c>
      <c r="AG7" s="47" t="e">
        <f>IF(AND('MAPA V5 2022'!#REF!="Muy Alta",'MAPA V5 2022'!#REF!="Mayor"),CONCATENATE("R2C",'MAPA V5 2022'!#REF!),"")</f>
        <v>#REF!</v>
      </c>
      <c r="AH7" s="48" t="str">
        <f>IF(AND('MAPA V5 2022'!$AA$12="Muy Alta",'MAPA V5 2022'!$AC$12="Catastrófico"),CONCATENATE("R2C",'MAPA V5 2022'!$Q$12),"")</f>
        <v/>
      </c>
      <c r="AI7" s="49" t="str">
        <f>IF(AND('MAPA V5 2022'!$AA$13="Muy Alta",'MAPA V5 2022'!$AC$13="Catastrófico"),CONCATENATE("R2C",'MAPA V5 2022'!$Q$13),"")</f>
        <v/>
      </c>
      <c r="AJ7" s="49" t="str">
        <f>IF(AND('MAPA V5 2022'!$AA$14="Muy Alta",'MAPA V5 2022'!$AC$14="Catastrófico"),CONCATENATE("R2C",'MAPA V5 2022'!$Q$14),"")</f>
        <v/>
      </c>
      <c r="AK7" s="49" t="str">
        <f>IF(AND('MAPA V5 2022'!$AA$15="Muy Alta",'MAPA V5 2022'!$AC$15="Catastrófico"),CONCATENATE("R2C",'MAPA V5 2022'!$Q$15),"")</f>
        <v/>
      </c>
      <c r="AL7" s="49" t="str">
        <f>IF(AND('MAPA V5 2022'!$AA$17="Muy Alta",'MAPA V5 2022'!$AC$17="Catastrófico"),CONCATENATE("R2C",'MAPA V5 2022'!$Q$17),"")</f>
        <v/>
      </c>
      <c r="AM7" s="50" t="e">
        <f>IF(AND('MAPA V5 2022'!#REF!="Muy Alta",'MAPA V5 2022'!#REF!="Catastrófico"),CONCATENATE("R2C",'MAPA V5 2022'!#REF!),"")</f>
        <v>#REF!</v>
      </c>
      <c r="AN7" s="77"/>
      <c r="AO7" s="418"/>
      <c r="AP7" s="419"/>
      <c r="AQ7" s="419"/>
      <c r="AR7" s="419"/>
      <c r="AS7" s="419"/>
      <c r="AT7" s="420"/>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row>
    <row r="8" spans="1:91" ht="15" customHeight="1" x14ac:dyDescent="0.25">
      <c r="A8" s="77"/>
      <c r="B8" s="310"/>
      <c r="C8" s="310"/>
      <c r="D8" s="311"/>
      <c r="E8" s="411"/>
      <c r="F8" s="412"/>
      <c r="G8" s="412"/>
      <c r="H8" s="412"/>
      <c r="I8" s="427"/>
      <c r="J8" s="45" t="str">
        <f>IF(AND('MAPA V5 2022'!$AA$18="Muy Alta",'MAPA V5 2022'!$AC$18="Leve"),CONCATENATE("R3C",'MAPA V5 2022'!$Q$18),"")</f>
        <v/>
      </c>
      <c r="K8" s="46" t="str">
        <f>IF(AND('MAPA V5 2022'!$AA$19="Muy Alta",'MAPA V5 2022'!$AC$19="Leve"),CONCATENATE("R3C",'MAPA V5 2022'!$Q$19),"")</f>
        <v/>
      </c>
      <c r="L8" s="46" t="str">
        <f>IF(AND('MAPA V5 2022'!$AA$21="Muy Alta",'MAPA V5 2022'!$AC$21="Leve"),CONCATENATE("R3C",'MAPA V5 2022'!$Q$21),"")</f>
        <v/>
      </c>
      <c r="M8" s="46" t="e">
        <f>IF(AND('MAPA V5 2022'!#REF!="Muy Alta",'MAPA V5 2022'!#REF!="Leve"),CONCATENATE("R3C",'MAPA V5 2022'!#REF!),"")</f>
        <v>#REF!</v>
      </c>
      <c r="N8" s="46" t="str">
        <f>IF(AND('MAPA V5 2022'!$AA$23="Muy Alta",'MAPA V5 2022'!$AC$23="Leve"),CONCATENATE("R3C",'MAPA V5 2022'!$Q$23),"")</f>
        <v/>
      </c>
      <c r="O8" s="47" t="str">
        <f>IF(AND('MAPA V5 2022'!$AA$24="Muy Alta",'MAPA V5 2022'!$AC$24="Leve"),CONCATENATE("R3C",'MAPA V5 2022'!$Q$24),"")</f>
        <v/>
      </c>
      <c r="P8" s="45" t="str">
        <f>IF(AND('MAPA V5 2022'!$AA$18="Muy Alta",'MAPA V5 2022'!$AC$18="Menor"),CONCATENATE("R3C",'MAPA V5 2022'!$Q$18),"")</f>
        <v/>
      </c>
      <c r="Q8" s="46" t="str">
        <f>IF(AND('MAPA V5 2022'!$AA$19="Muy Alta",'MAPA V5 2022'!$AC$19="Menor"),CONCATENATE("R3C",'MAPA V5 2022'!$Q$19),"")</f>
        <v/>
      </c>
      <c r="R8" s="46" t="str">
        <f>IF(AND('MAPA V5 2022'!$AA$21="Muy Alta",'MAPA V5 2022'!$AC$21="Menor"),CONCATENATE("R3C",'MAPA V5 2022'!$Q$21),"")</f>
        <v/>
      </c>
      <c r="S8" s="46" t="e">
        <f>IF(AND('MAPA V5 2022'!#REF!="Muy Alta",'MAPA V5 2022'!#REF!="Menor"),CONCATENATE("R3C",'MAPA V5 2022'!#REF!),"")</f>
        <v>#REF!</v>
      </c>
      <c r="T8" s="46" t="str">
        <f>IF(AND('MAPA V5 2022'!$AA$23="Muy Alta",'MAPA V5 2022'!$AC$23="Menor"),CONCATENATE("R3C",'MAPA V5 2022'!$Q$23),"")</f>
        <v/>
      </c>
      <c r="U8" s="47" t="str">
        <f>IF(AND('MAPA V5 2022'!$AA$24="Muy Alta",'MAPA V5 2022'!$AC$24="Menor"),CONCATENATE("R3C",'MAPA V5 2022'!$Q$24),"")</f>
        <v/>
      </c>
      <c r="V8" s="45" t="str">
        <f>IF(AND('MAPA V5 2022'!$AA$18="Muy Alta",'MAPA V5 2022'!$AC$18="Moderado"),CONCATENATE("R3C",'MAPA V5 2022'!$Q$18),"")</f>
        <v/>
      </c>
      <c r="W8" s="46" t="str">
        <f>IF(AND('MAPA V5 2022'!$AA$19="Muy Alta",'MAPA V5 2022'!$AC$19="Moderado"),CONCATENATE("R3C",'MAPA V5 2022'!$Q$19),"")</f>
        <v/>
      </c>
      <c r="X8" s="46" t="str">
        <f>IF(AND('MAPA V5 2022'!$AA$21="Muy Alta",'MAPA V5 2022'!$AC$21="Moderado"),CONCATENATE("R3C",'MAPA V5 2022'!$Q$21),"")</f>
        <v/>
      </c>
      <c r="Y8" s="46" t="e">
        <f>IF(AND('MAPA V5 2022'!#REF!="Muy Alta",'MAPA V5 2022'!#REF!="Moderado"),CONCATENATE("R3C",'MAPA V5 2022'!#REF!),"")</f>
        <v>#REF!</v>
      </c>
      <c r="Z8" s="46" t="str">
        <f>IF(AND('MAPA V5 2022'!$AA$23="Muy Alta",'MAPA V5 2022'!$AC$23="Moderado"),CONCATENATE("R3C",'MAPA V5 2022'!$Q$23),"")</f>
        <v/>
      </c>
      <c r="AA8" s="47" t="str">
        <f>IF(AND('MAPA V5 2022'!$AA$24="Muy Alta",'MAPA V5 2022'!$AC$24="Moderado"),CONCATENATE("R3C",'MAPA V5 2022'!$Q$24),"")</f>
        <v/>
      </c>
      <c r="AB8" s="45" t="str">
        <f>IF(AND('MAPA V5 2022'!$AA$18="Muy Alta",'MAPA V5 2022'!$AC$18="Mayor"),CONCATENATE("R3C",'MAPA V5 2022'!$Q$18),"")</f>
        <v/>
      </c>
      <c r="AC8" s="46" t="str">
        <f>IF(AND('MAPA V5 2022'!$AA$19="Muy Alta",'MAPA V5 2022'!$AC$19="Mayor"),CONCATENATE("R3C",'MAPA V5 2022'!$Q$19),"")</f>
        <v/>
      </c>
      <c r="AD8" s="46" t="str">
        <f>IF(AND('MAPA V5 2022'!$AA$21="Muy Alta",'MAPA V5 2022'!$AC$21="Mayor"),CONCATENATE("R3C",'MAPA V5 2022'!$Q$21),"")</f>
        <v/>
      </c>
      <c r="AE8" s="46" t="e">
        <f>IF(AND('MAPA V5 2022'!#REF!="Muy Alta",'MAPA V5 2022'!#REF!="Mayor"),CONCATENATE("R3C",'MAPA V5 2022'!#REF!),"")</f>
        <v>#REF!</v>
      </c>
      <c r="AF8" s="46" t="str">
        <f>IF(AND('MAPA V5 2022'!$AA$23="Muy Alta",'MAPA V5 2022'!$AC$23="Mayor"),CONCATENATE("R3C",'MAPA V5 2022'!$Q$23),"")</f>
        <v/>
      </c>
      <c r="AG8" s="47" t="str">
        <f>IF(AND('MAPA V5 2022'!$AA$24="Muy Alta",'MAPA V5 2022'!$AC$24="Mayor"),CONCATENATE("R3C",'MAPA V5 2022'!$Q$24),"")</f>
        <v/>
      </c>
      <c r="AH8" s="48" t="str">
        <f>IF(AND('MAPA V5 2022'!$AA$18="Muy Alta",'MAPA V5 2022'!$AC$18="Catastrófico"),CONCATENATE("R3C",'MAPA V5 2022'!$Q$18),"")</f>
        <v/>
      </c>
      <c r="AI8" s="49" t="str">
        <f>IF(AND('MAPA V5 2022'!$AA$19="Muy Alta",'MAPA V5 2022'!$AC$19="Catastrófico"),CONCATENATE("R3C",'MAPA V5 2022'!$Q$19),"")</f>
        <v/>
      </c>
      <c r="AJ8" s="49" t="str">
        <f>IF(AND('MAPA V5 2022'!$AA$21="Muy Alta",'MAPA V5 2022'!$AC$21="Catastrófico"),CONCATENATE("R3C",'MAPA V5 2022'!$Q$21),"")</f>
        <v/>
      </c>
      <c r="AK8" s="49" t="e">
        <f>IF(AND('MAPA V5 2022'!#REF!="Muy Alta",'MAPA V5 2022'!#REF!="Catastrófico"),CONCATENATE("R3C",'MAPA V5 2022'!#REF!),"")</f>
        <v>#REF!</v>
      </c>
      <c r="AL8" s="49" t="str">
        <f>IF(AND('MAPA V5 2022'!$AA$23="Muy Alta",'MAPA V5 2022'!$AC$23="Catastrófico"),CONCATENATE("R3C",'MAPA V5 2022'!$Q$23),"")</f>
        <v/>
      </c>
      <c r="AM8" s="50" t="str">
        <f>IF(AND('MAPA V5 2022'!$AA$24="Muy Alta",'MAPA V5 2022'!$AC$24="Catastrófico"),CONCATENATE("R3C",'MAPA V5 2022'!$Q$24),"")</f>
        <v/>
      </c>
      <c r="AN8" s="77"/>
      <c r="AO8" s="418"/>
      <c r="AP8" s="419"/>
      <c r="AQ8" s="419"/>
      <c r="AR8" s="419"/>
      <c r="AS8" s="419"/>
      <c r="AT8" s="420"/>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row>
    <row r="9" spans="1:91" ht="15" customHeight="1" x14ac:dyDescent="0.25">
      <c r="A9" s="77"/>
      <c r="B9" s="310"/>
      <c r="C9" s="310"/>
      <c r="D9" s="311"/>
      <c r="E9" s="411"/>
      <c r="F9" s="412"/>
      <c r="G9" s="412"/>
      <c r="H9" s="412"/>
      <c r="I9" s="427"/>
      <c r="J9" s="45" t="str">
        <f>IF(AND('MAPA V5 2022'!$AA$25="Muy Alta",'MAPA V5 2022'!$AC$25="Leve"),CONCATENATE("R4C",'MAPA V5 2022'!$Q$25),"")</f>
        <v/>
      </c>
      <c r="K9" s="46" t="e">
        <f>IF(AND('MAPA V5 2022'!#REF!="Muy Alta",'MAPA V5 2022'!#REF!="Leve"),CONCATENATE("R4C",'MAPA V5 2022'!#REF!),"")</f>
        <v>#REF!</v>
      </c>
      <c r="L9" s="51" t="str">
        <f>IF(AND('MAPA V5 2022'!$AA$26="Muy Alta",'MAPA V5 2022'!$AC$26="Leve"),CONCATENATE("R4C",'MAPA V5 2022'!$Q$26),"")</f>
        <v/>
      </c>
      <c r="M9" s="51" t="str">
        <f>IF(AND('MAPA V5 2022'!$AA$27="Muy Alta",'MAPA V5 2022'!$AC$27="Leve"),CONCATENATE("R4C",'MAPA V5 2022'!$Q$27),"")</f>
        <v/>
      </c>
      <c r="N9" s="51" t="e">
        <f>IF(AND('MAPA V5 2022'!#REF!="Muy Alta",'MAPA V5 2022'!#REF!="Leve"),CONCATENATE("R4C",'MAPA V5 2022'!#REF!),"")</f>
        <v>#REF!</v>
      </c>
      <c r="O9" s="47" t="str">
        <f>IF(AND('MAPA V5 2022'!$AA$28="Muy Alta",'MAPA V5 2022'!$AC$28="Leve"),CONCATENATE("R4C",'MAPA V5 2022'!$Q$28),"")</f>
        <v/>
      </c>
      <c r="P9" s="45" t="str">
        <f>IF(AND('MAPA V5 2022'!$AA$25="Muy Alta",'MAPA V5 2022'!$AC$25="Menor"),CONCATENATE("R4C",'MAPA V5 2022'!$Q$25),"")</f>
        <v/>
      </c>
      <c r="Q9" s="46" t="e">
        <f>IF(AND('MAPA V5 2022'!#REF!="Muy Alta",'MAPA V5 2022'!#REF!="Menor"),CONCATENATE("R4C",'MAPA V5 2022'!#REF!),"")</f>
        <v>#REF!</v>
      </c>
      <c r="R9" s="51" t="str">
        <f>IF(AND('MAPA V5 2022'!$AA$26="Muy Alta",'MAPA V5 2022'!$AC$26="Menor"),CONCATENATE("R4C",'MAPA V5 2022'!$Q$26),"")</f>
        <v/>
      </c>
      <c r="S9" s="51" t="str">
        <f>IF(AND('MAPA V5 2022'!$AA$27="Muy Alta",'MAPA V5 2022'!$AC$27="Menor"),CONCATENATE("R4C",'MAPA V5 2022'!$Q$27),"")</f>
        <v/>
      </c>
      <c r="T9" s="51" t="e">
        <f>IF(AND('MAPA V5 2022'!#REF!="Muy Alta",'MAPA V5 2022'!#REF!="Menor"),CONCATENATE("R4C",'MAPA V5 2022'!#REF!),"")</f>
        <v>#REF!</v>
      </c>
      <c r="U9" s="47" t="str">
        <f>IF(AND('MAPA V5 2022'!$AA$28="Muy Alta",'MAPA V5 2022'!$AC$28="Menor"),CONCATENATE("R4C",'MAPA V5 2022'!$Q$28),"")</f>
        <v/>
      </c>
      <c r="V9" s="45" t="str">
        <f>IF(AND('MAPA V5 2022'!$AA$25="Muy Alta",'MAPA V5 2022'!$AC$25="Moderado"),CONCATENATE("R4C",'MAPA V5 2022'!$Q$25),"")</f>
        <v/>
      </c>
      <c r="W9" s="46" t="e">
        <f>IF(AND('MAPA V5 2022'!#REF!="Muy Alta",'MAPA V5 2022'!#REF!="Moderado"),CONCATENATE("R4C",'MAPA V5 2022'!#REF!),"")</f>
        <v>#REF!</v>
      </c>
      <c r="X9" s="51" t="str">
        <f>IF(AND('MAPA V5 2022'!$AA$26="Muy Alta",'MAPA V5 2022'!$AC$26="Moderado"),CONCATENATE("R4C",'MAPA V5 2022'!$Q$26),"")</f>
        <v/>
      </c>
      <c r="Y9" s="51" t="str">
        <f>IF(AND('MAPA V5 2022'!$AA$27="Muy Alta",'MAPA V5 2022'!$AC$27="Moderado"),CONCATENATE("R4C",'MAPA V5 2022'!$Q$27),"")</f>
        <v/>
      </c>
      <c r="Z9" s="51" t="e">
        <f>IF(AND('MAPA V5 2022'!#REF!="Muy Alta",'MAPA V5 2022'!#REF!="Moderado"),CONCATENATE("R4C",'MAPA V5 2022'!#REF!),"")</f>
        <v>#REF!</v>
      </c>
      <c r="AA9" s="47" t="str">
        <f>IF(AND('MAPA V5 2022'!$AA$28="Muy Alta",'MAPA V5 2022'!$AC$28="Moderado"),CONCATENATE("R4C",'MAPA V5 2022'!$Q$28),"")</f>
        <v/>
      </c>
      <c r="AB9" s="45" t="str">
        <f>IF(AND('MAPA V5 2022'!$AA$25="Muy Alta",'MAPA V5 2022'!$AC$25="Mayor"),CONCATENATE("R4C",'MAPA V5 2022'!$Q$25),"")</f>
        <v/>
      </c>
      <c r="AC9" s="46" t="e">
        <f>IF(AND('MAPA V5 2022'!#REF!="Muy Alta",'MAPA V5 2022'!#REF!="Mayor"),CONCATENATE("R4C",'MAPA V5 2022'!#REF!),"")</f>
        <v>#REF!</v>
      </c>
      <c r="AD9" s="51" t="str">
        <f>IF(AND('MAPA V5 2022'!$AA$26="Muy Alta",'MAPA V5 2022'!$AC$26="Mayor"),CONCATENATE("R4C",'MAPA V5 2022'!$Q$26),"")</f>
        <v/>
      </c>
      <c r="AE9" s="51" t="str">
        <f>IF(AND('MAPA V5 2022'!$AA$27="Muy Alta",'MAPA V5 2022'!$AC$27="Mayor"),CONCATENATE("R4C",'MAPA V5 2022'!$Q$27),"")</f>
        <v/>
      </c>
      <c r="AF9" s="51" t="e">
        <f>IF(AND('MAPA V5 2022'!#REF!="Muy Alta",'MAPA V5 2022'!#REF!="Mayor"),CONCATENATE("R4C",'MAPA V5 2022'!#REF!),"")</f>
        <v>#REF!</v>
      </c>
      <c r="AG9" s="47" t="str">
        <f>IF(AND('MAPA V5 2022'!$AA$28="Muy Alta",'MAPA V5 2022'!$AC$28="Mayor"),CONCATENATE("R4C",'MAPA V5 2022'!$Q$28),"")</f>
        <v/>
      </c>
      <c r="AH9" s="48" t="str">
        <f>IF(AND('MAPA V5 2022'!$AA$25="Muy Alta",'MAPA V5 2022'!$AC$25="Catastrófico"),CONCATENATE("R4C",'MAPA V5 2022'!$Q$25),"")</f>
        <v/>
      </c>
      <c r="AI9" s="49" t="e">
        <f>IF(AND('MAPA V5 2022'!#REF!="Muy Alta",'MAPA V5 2022'!#REF!="Catastrófico"),CONCATENATE("R4C",'MAPA V5 2022'!#REF!),"")</f>
        <v>#REF!</v>
      </c>
      <c r="AJ9" s="49" t="str">
        <f>IF(AND('MAPA V5 2022'!$AA$26="Muy Alta",'MAPA V5 2022'!$AC$26="Catastrófico"),CONCATENATE("R4C",'MAPA V5 2022'!$Q$26),"")</f>
        <v/>
      </c>
      <c r="AK9" s="49" t="str">
        <f>IF(AND('MAPA V5 2022'!$AA$27="Muy Alta",'MAPA V5 2022'!$AC$27="Catastrófico"),CONCATENATE("R4C",'MAPA V5 2022'!$Q$27),"")</f>
        <v/>
      </c>
      <c r="AL9" s="49" t="e">
        <f>IF(AND('MAPA V5 2022'!#REF!="Muy Alta",'MAPA V5 2022'!#REF!="Catastrófico"),CONCATENATE("R4C",'MAPA V5 2022'!#REF!),"")</f>
        <v>#REF!</v>
      </c>
      <c r="AM9" s="50" t="str">
        <f>IF(AND('MAPA V5 2022'!$AA$28="Muy Alta",'MAPA V5 2022'!$AC$28="Catastrófico"),CONCATENATE("R4C",'MAPA V5 2022'!$Q$28),"")</f>
        <v/>
      </c>
      <c r="AN9" s="77"/>
      <c r="AO9" s="418"/>
      <c r="AP9" s="419"/>
      <c r="AQ9" s="419"/>
      <c r="AR9" s="419"/>
      <c r="AS9" s="419"/>
      <c r="AT9" s="420"/>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row>
    <row r="10" spans="1:91" ht="15" customHeight="1" x14ac:dyDescent="0.25">
      <c r="A10" s="77"/>
      <c r="B10" s="310"/>
      <c r="C10" s="310"/>
      <c r="D10" s="311"/>
      <c r="E10" s="411"/>
      <c r="F10" s="412"/>
      <c r="G10" s="412"/>
      <c r="H10" s="412"/>
      <c r="I10" s="427"/>
      <c r="J10" s="45" t="str">
        <f>IF(AND('MAPA V5 2022'!$AA$29="Muy Alta",'MAPA V5 2022'!$AC$29="Leve"),CONCATENATE("R5C",'MAPA V5 2022'!$Q$29),"")</f>
        <v/>
      </c>
      <c r="K10" s="46" t="str">
        <f>IF(AND('MAPA V5 2022'!$AA$30="Muy Alta",'MAPA V5 2022'!$AC$30="Leve"),CONCATENATE("R5C",'MAPA V5 2022'!$Q$30),"")</f>
        <v/>
      </c>
      <c r="L10" s="51" t="str">
        <f>IF(AND('MAPA V5 2022'!$AA$31="Muy Alta",'MAPA V5 2022'!$AC$31="Leve"),CONCATENATE("R5C",'MAPA V5 2022'!$Q$31),"")</f>
        <v/>
      </c>
      <c r="M10" s="51" t="str">
        <f>IF(AND('MAPA V5 2022'!$AA$33="Muy Alta",'MAPA V5 2022'!$AC$33="Leve"),CONCATENATE("R5C",'MAPA V5 2022'!$Q$33),"")</f>
        <v/>
      </c>
      <c r="N10" s="51" t="str">
        <f>IF(AND('MAPA V5 2022'!$AA$34="Muy Alta",'MAPA V5 2022'!$AC$34="Leve"),CONCATENATE("R5C",'MAPA V5 2022'!$Q$34),"")</f>
        <v/>
      </c>
      <c r="O10" s="47" t="e">
        <f>IF(AND('MAPA V5 2022'!#REF!="Muy Alta",'MAPA V5 2022'!#REF!="Leve"),CONCATENATE("R5C",'MAPA V5 2022'!#REF!),"")</f>
        <v>#REF!</v>
      </c>
      <c r="P10" s="45" t="str">
        <f>IF(AND('MAPA V5 2022'!$AA$29="Muy Alta",'MAPA V5 2022'!$AC$29="Menor"),CONCATENATE("R5C",'MAPA V5 2022'!$Q$29),"")</f>
        <v/>
      </c>
      <c r="Q10" s="46" t="str">
        <f>IF(AND('MAPA V5 2022'!$AA$30="Muy Alta",'MAPA V5 2022'!$AC$30="Menor"),CONCATENATE("R5C",'MAPA V5 2022'!$Q$30),"")</f>
        <v/>
      </c>
      <c r="R10" s="51" t="str">
        <f>IF(AND('MAPA V5 2022'!$AA$31="Muy Alta",'MAPA V5 2022'!$AC$31="Menor"),CONCATENATE("R5C",'MAPA V5 2022'!$Q$31),"")</f>
        <v/>
      </c>
      <c r="S10" s="51" t="str">
        <f>IF(AND('MAPA V5 2022'!$AA$33="Muy Alta",'MAPA V5 2022'!$AC$33="Menor"),CONCATENATE("R5C",'MAPA V5 2022'!$Q$33),"")</f>
        <v/>
      </c>
      <c r="T10" s="51" t="str">
        <f>IF(AND('MAPA V5 2022'!$AA$34="Muy Alta",'MAPA V5 2022'!$AC$34="Menor"),CONCATENATE("R5C",'MAPA V5 2022'!$Q$34),"")</f>
        <v/>
      </c>
      <c r="U10" s="47" t="e">
        <f>IF(AND('MAPA V5 2022'!#REF!="Muy Alta",'MAPA V5 2022'!#REF!="Menor"),CONCATENATE("R5C",'MAPA V5 2022'!#REF!),"")</f>
        <v>#REF!</v>
      </c>
      <c r="V10" s="45" t="str">
        <f>IF(AND('MAPA V5 2022'!$AA$29="Muy Alta",'MAPA V5 2022'!$AC$29="Moderado"),CONCATENATE("R5C",'MAPA V5 2022'!$Q$29),"")</f>
        <v/>
      </c>
      <c r="W10" s="46" t="str">
        <f>IF(AND('MAPA V5 2022'!$AA$30="Muy Alta",'MAPA V5 2022'!$AC$30="Moderado"),CONCATENATE("R5C",'MAPA V5 2022'!$Q$30),"")</f>
        <v/>
      </c>
      <c r="X10" s="51" t="str">
        <f>IF(AND('MAPA V5 2022'!$AA$31="Muy Alta",'MAPA V5 2022'!$AC$31="Moderado"),CONCATENATE("R5C",'MAPA V5 2022'!$Q$31),"")</f>
        <v/>
      </c>
      <c r="Y10" s="51" t="str">
        <f>IF(AND('MAPA V5 2022'!$AA$33="Muy Alta",'MAPA V5 2022'!$AC$33="Moderado"),CONCATENATE("R5C",'MAPA V5 2022'!$Q$33),"")</f>
        <v/>
      </c>
      <c r="Z10" s="51" t="str">
        <f>IF(AND('MAPA V5 2022'!$AA$34="Muy Alta",'MAPA V5 2022'!$AC$34="Moderado"),CONCATENATE("R5C",'MAPA V5 2022'!$Q$34),"")</f>
        <v/>
      </c>
      <c r="AA10" s="47" t="e">
        <f>IF(AND('MAPA V5 2022'!#REF!="Muy Alta",'MAPA V5 2022'!#REF!="Moderado"),CONCATENATE("R5C",'MAPA V5 2022'!#REF!),"")</f>
        <v>#REF!</v>
      </c>
      <c r="AB10" s="45" t="str">
        <f>IF(AND('MAPA V5 2022'!$AA$29="Muy Alta",'MAPA V5 2022'!$AC$29="Mayor"),CONCATENATE("R5C",'MAPA V5 2022'!$Q$29),"")</f>
        <v/>
      </c>
      <c r="AC10" s="46" t="str">
        <f>IF(AND('MAPA V5 2022'!$AA$30="Muy Alta",'MAPA V5 2022'!$AC$30="Mayor"),CONCATENATE("R5C",'MAPA V5 2022'!$Q$30),"")</f>
        <v/>
      </c>
      <c r="AD10" s="51" t="str">
        <f>IF(AND('MAPA V5 2022'!$AA$31="Muy Alta",'MAPA V5 2022'!$AC$31="Mayor"),CONCATENATE("R5C",'MAPA V5 2022'!$Q$31),"")</f>
        <v/>
      </c>
      <c r="AE10" s="51" t="str">
        <f>IF(AND('MAPA V5 2022'!$AA$33="Muy Alta",'MAPA V5 2022'!$AC$33="Mayor"),CONCATENATE("R5C",'MAPA V5 2022'!$Q$33),"")</f>
        <v/>
      </c>
      <c r="AF10" s="51" t="str">
        <f>IF(AND('MAPA V5 2022'!$AA$34="Muy Alta",'MAPA V5 2022'!$AC$34="Mayor"),CONCATENATE("R5C",'MAPA V5 2022'!$Q$34),"")</f>
        <v/>
      </c>
      <c r="AG10" s="47" t="e">
        <f>IF(AND('MAPA V5 2022'!#REF!="Muy Alta",'MAPA V5 2022'!#REF!="Mayor"),CONCATENATE("R5C",'MAPA V5 2022'!#REF!),"")</f>
        <v>#REF!</v>
      </c>
      <c r="AH10" s="48" t="str">
        <f>IF(AND('MAPA V5 2022'!$AA$29="Muy Alta",'MAPA V5 2022'!$AC$29="Catastrófico"),CONCATENATE("R5C",'MAPA V5 2022'!$Q$29),"")</f>
        <v/>
      </c>
      <c r="AI10" s="49" t="str">
        <f>IF(AND('MAPA V5 2022'!$AA$30="Muy Alta",'MAPA V5 2022'!$AC$30="Catastrófico"),CONCATENATE("R5C",'MAPA V5 2022'!$Q$30),"")</f>
        <v/>
      </c>
      <c r="AJ10" s="49" t="str">
        <f>IF(AND('MAPA V5 2022'!$AA$31="Muy Alta",'MAPA V5 2022'!$AC$31="Catastrófico"),CONCATENATE("R5C",'MAPA V5 2022'!$Q$31),"")</f>
        <v/>
      </c>
      <c r="AK10" s="49" t="str">
        <f>IF(AND('MAPA V5 2022'!$AA$33="Muy Alta",'MAPA V5 2022'!$AC$33="Catastrófico"),CONCATENATE("R5C",'MAPA V5 2022'!$Q$33),"")</f>
        <v/>
      </c>
      <c r="AL10" s="49" t="str">
        <f>IF(AND('MAPA V5 2022'!$AA$34="Muy Alta",'MAPA V5 2022'!$AC$34="Catastrófico"),CONCATENATE("R5C",'MAPA V5 2022'!$Q$34),"")</f>
        <v/>
      </c>
      <c r="AM10" s="50" t="e">
        <f>IF(AND('MAPA V5 2022'!#REF!="Muy Alta",'MAPA V5 2022'!#REF!="Catastrófico"),CONCATENATE("R5C",'MAPA V5 2022'!#REF!),"")</f>
        <v>#REF!</v>
      </c>
      <c r="AN10" s="77"/>
      <c r="AO10" s="418"/>
      <c r="AP10" s="419"/>
      <c r="AQ10" s="419"/>
      <c r="AR10" s="419"/>
      <c r="AS10" s="419"/>
      <c r="AT10" s="420"/>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row>
    <row r="11" spans="1:91" ht="15" customHeight="1" x14ac:dyDescent="0.25">
      <c r="A11" s="77"/>
      <c r="B11" s="310"/>
      <c r="C11" s="310"/>
      <c r="D11" s="311"/>
      <c r="E11" s="411"/>
      <c r="F11" s="412"/>
      <c r="G11" s="412"/>
      <c r="H11" s="412"/>
      <c r="I11" s="427"/>
      <c r="J11" s="45" t="e">
        <f>IF(AND('MAPA V5 2022'!#REF!="Muy Alta",'MAPA V5 2022'!#REF!="Leve"),CONCATENATE("R6C",'MAPA V5 2022'!#REF!),"")</f>
        <v>#REF!</v>
      </c>
      <c r="K11" s="46" t="str">
        <f>IF(AND('MAPA V5 2022'!$AA$35="Muy Alta",'MAPA V5 2022'!$AC$35="Leve"),CONCATENATE("R6C",'MAPA V5 2022'!$Q$35),"")</f>
        <v/>
      </c>
      <c r="L11" s="51" t="e">
        <f>IF(AND('MAPA V5 2022'!#REF!="Muy Alta",'MAPA V5 2022'!#REF!="Leve"),CONCATENATE("R6C",'MAPA V5 2022'!#REF!),"")</f>
        <v>#REF!</v>
      </c>
      <c r="M11" s="51" t="str">
        <f>IF(AND('MAPA V5 2022'!$AA$36="Muy Alta",'MAPA V5 2022'!$AC$36="Leve"),CONCATENATE("R6C",'MAPA V5 2022'!$Q$36),"")</f>
        <v/>
      </c>
      <c r="N11" s="51" t="str">
        <f>IF(AND('MAPA V5 2022'!$AA$37="Muy Alta",'MAPA V5 2022'!$AC$37="Leve"),CONCATENATE("R6C",'MAPA V5 2022'!$Q$37),"")</f>
        <v/>
      </c>
      <c r="O11" s="47" t="str">
        <f>IF(AND('MAPA V5 2022'!$AA$38="Muy Alta",'MAPA V5 2022'!$AC$38="Leve"),CONCATENATE("R6C",'MAPA V5 2022'!$Q$38),"")</f>
        <v/>
      </c>
      <c r="P11" s="45" t="e">
        <f>IF(AND('MAPA V5 2022'!#REF!="Muy Alta",'MAPA V5 2022'!#REF!="Menor"),CONCATENATE("R6C",'MAPA V5 2022'!#REF!),"")</f>
        <v>#REF!</v>
      </c>
      <c r="Q11" s="46" t="str">
        <f>IF(AND('MAPA V5 2022'!$AA$35="Muy Alta",'MAPA V5 2022'!$AC$35="Menor"),CONCATENATE("R6C",'MAPA V5 2022'!$Q$35),"")</f>
        <v/>
      </c>
      <c r="R11" s="51" t="e">
        <f>IF(AND('MAPA V5 2022'!#REF!="Muy Alta",'MAPA V5 2022'!#REF!="Menor"),CONCATENATE("R6C",'MAPA V5 2022'!#REF!),"")</f>
        <v>#REF!</v>
      </c>
      <c r="S11" s="51" t="str">
        <f>IF(AND('MAPA V5 2022'!$AA$36="Muy Alta",'MAPA V5 2022'!$AC$36="Menor"),CONCATENATE("R6C",'MAPA V5 2022'!$Q$36),"")</f>
        <v/>
      </c>
      <c r="T11" s="51" t="str">
        <f>IF(AND('MAPA V5 2022'!$AA$37="Muy Alta",'MAPA V5 2022'!$AC$37="Menor"),CONCATENATE("R6C",'MAPA V5 2022'!$Q$37),"")</f>
        <v/>
      </c>
      <c r="U11" s="47" t="str">
        <f>IF(AND('MAPA V5 2022'!$AA$38="Muy Alta",'MAPA V5 2022'!$AC$38="Menor"),CONCATENATE("R6C",'MAPA V5 2022'!$Q$38),"")</f>
        <v/>
      </c>
      <c r="V11" s="45" t="e">
        <f>IF(AND('MAPA V5 2022'!#REF!="Muy Alta",'MAPA V5 2022'!#REF!="Moderado"),CONCATENATE("R6C",'MAPA V5 2022'!#REF!),"")</f>
        <v>#REF!</v>
      </c>
      <c r="W11" s="46" t="str">
        <f>IF(AND('MAPA V5 2022'!$AA$35="Muy Alta",'MAPA V5 2022'!$AC$35="Moderado"),CONCATENATE("R6C",'MAPA V5 2022'!$Q$35),"")</f>
        <v/>
      </c>
      <c r="X11" s="51" t="e">
        <f>IF(AND('MAPA V5 2022'!#REF!="Muy Alta",'MAPA V5 2022'!#REF!="Moderado"),CONCATENATE("R6C",'MAPA V5 2022'!#REF!),"")</f>
        <v>#REF!</v>
      </c>
      <c r="Y11" s="51" t="str">
        <f>IF(AND('MAPA V5 2022'!$AA$36="Muy Alta",'MAPA V5 2022'!$AC$36="Moderado"),CONCATENATE("R6C",'MAPA V5 2022'!$Q$36),"")</f>
        <v/>
      </c>
      <c r="Z11" s="51" t="str">
        <f>IF(AND('MAPA V5 2022'!$AA$37="Muy Alta",'MAPA V5 2022'!$AC$37="Moderado"),CONCATENATE("R6C",'MAPA V5 2022'!$Q$37),"")</f>
        <v/>
      </c>
      <c r="AA11" s="47" t="str">
        <f>IF(AND('MAPA V5 2022'!$AA$38="Muy Alta",'MAPA V5 2022'!$AC$38="Moderado"),CONCATENATE("R6C",'MAPA V5 2022'!$Q$38),"")</f>
        <v/>
      </c>
      <c r="AB11" s="45" t="e">
        <f>IF(AND('MAPA V5 2022'!#REF!="Muy Alta",'MAPA V5 2022'!#REF!="Mayor"),CONCATENATE("R6C",'MAPA V5 2022'!#REF!),"")</f>
        <v>#REF!</v>
      </c>
      <c r="AC11" s="46" t="str">
        <f>IF(AND('MAPA V5 2022'!$AA$35="Muy Alta",'MAPA V5 2022'!$AC$35="Mayor"),CONCATENATE("R6C",'MAPA V5 2022'!$Q$35),"")</f>
        <v/>
      </c>
      <c r="AD11" s="51" t="e">
        <f>IF(AND('MAPA V5 2022'!#REF!="Muy Alta",'MAPA V5 2022'!#REF!="Mayor"),CONCATENATE("R6C",'MAPA V5 2022'!#REF!),"")</f>
        <v>#REF!</v>
      </c>
      <c r="AE11" s="51" t="str">
        <f>IF(AND('MAPA V5 2022'!$AA$36="Muy Alta",'MAPA V5 2022'!$AC$36="Mayor"),CONCATENATE("R6C",'MAPA V5 2022'!$Q$36),"")</f>
        <v/>
      </c>
      <c r="AF11" s="51" t="str">
        <f>IF(AND('MAPA V5 2022'!$AA$37="Muy Alta",'MAPA V5 2022'!$AC$37="Mayor"),CONCATENATE("R6C",'MAPA V5 2022'!$Q$37),"")</f>
        <v/>
      </c>
      <c r="AG11" s="47" t="str">
        <f>IF(AND('MAPA V5 2022'!$AA$38="Muy Alta",'MAPA V5 2022'!$AC$38="Mayor"),CONCATENATE("R6C",'MAPA V5 2022'!$Q$38),"")</f>
        <v>R6C1</v>
      </c>
      <c r="AH11" s="48" t="e">
        <f>IF(AND('MAPA V5 2022'!#REF!="Muy Alta",'MAPA V5 2022'!#REF!="Catastrófico"),CONCATENATE("R6C",'MAPA V5 2022'!#REF!),"")</f>
        <v>#REF!</v>
      </c>
      <c r="AI11" s="49" t="str">
        <f>IF(AND('MAPA V5 2022'!$AA$35="Muy Alta",'MAPA V5 2022'!$AC$35="Catastrófico"),CONCATENATE("R6C",'MAPA V5 2022'!$Q$35),"")</f>
        <v/>
      </c>
      <c r="AJ11" s="49" t="e">
        <f>IF(AND('MAPA V5 2022'!#REF!="Muy Alta",'MAPA V5 2022'!#REF!="Catastrófico"),CONCATENATE("R6C",'MAPA V5 2022'!#REF!),"")</f>
        <v>#REF!</v>
      </c>
      <c r="AK11" s="49" t="str">
        <f>IF(AND('MAPA V5 2022'!$AA$36="Muy Alta",'MAPA V5 2022'!$AC$36="Catastrófico"),CONCATENATE("R6C",'MAPA V5 2022'!$Q$36),"")</f>
        <v/>
      </c>
      <c r="AL11" s="49" t="str">
        <f>IF(AND('MAPA V5 2022'!$AA$37="Muy Alta",'MAPA V5 2022'!$AC$37="Catastrófico"),CONCATENATE("R6C",'MAPA V5 2022'!$Q$37),"")</f>
        <v/>
      </c>
      <c r="AM11" s="50" t="str">
        <f>IF(AND('MAPA V5 2022'!$AA$38="Muy Alta",'MAPA V5 2022'!$AC$38="Catastrófico"),CONCATENATE("R6C",'MAPA V5 2022'!$Q$38),"")</f>
        <v/>
      </c>
      <c r="AN11" s="77"/>
      <c r="AO11" s="418"/>
      <c r="AP11" s="419"/>
      <c r="AQ11" s="419"/>
      <c r="AR11" s="419"/>
      <c r="AS11" s="419"/>
      <c r="AT11" s="420"/>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row>
    <row r="12" spans="1:91" ht="15" customHeight="1" x14ac:dyDescent="0.25">
      <c r="A12" s="77"/>
      <c r="B12" s="310"/>
      <c r="C12" s="310"/>
      <c r="D12" s="311"/>
      <c r="E12" s="411"/>
      <c r="F12" s="412"/>
      <c r="G12" s="412"/>
      <c r="H12" s="412"/>
      <c r="I12" s="427"/>
      <c r="J12" s="45" t="e">
        <f>IF(AND('MAPA V5 2022'!#REF!="Muy Alta",'MAPA V5 2022'!#REF!="Leve"),CONCATENATE("R7C",'MAPA V5 2022'!#REF!),"")</f>
        <v>#REF!</v>
      </c>
      <c r="K12" s="46" t="str">
        <f>IF(AND('MAPA V5 2022'!$AA$39="Muy Alta",'MAPA V5 2022'!$AC$39="Leve"),CONCATENATE("R7C",'MAPA V5 2022'!$Q$39),"")</f>
        <v/>
      </c>
      <c r="L12" s="51" t="str">
        <f>IF(AND('MAPA V5 2022'!$AA$40="Muy Alta",'MAPA V5 2022'!$AC$40="Leve"),CONCATENATE("R7C",'MAPA V5 2022'!$Q$40),"")</f>
        <v/>
      </c>
      <c r="M12" s="51" t="e">
        <f>IF(AND('MAPA V5 2022'!#REF!="Muy Alta",'MAPA V5 2022'!#REF!="Leve"),CONCATENATE("R7C",'MAPA V5 2022'!#REF!),"")</f>
        <v>#REF!</v>
      </c>
      <c r="N12" s="51" t="str">
        <f>IF(AND('MAPA V5 2022'!$AA$41="Muy Alta",'MAPA V5 2022'!$AC$41="Leve"),CONCATENATE("R7C",'MAPA V5 2022'!$Q$41),"")</f>
        <v/>
      </c>
      <c r="O12" s="47" t="e">
        <f>IF(AND('MAPA V5 2022'!#REF!="Muy Alta",'MAPA V5 2022'!#REF!="Leve"),CONCATENATE("R7C",'MAPA V5 2022'!#REF!),"")</f>
        <v>#REF!</v>
      </c>
      <c r="P12" s="45" t="e">
        <f>IF(AND('MAPA V5 2022'!#REF!="Muy Alta",'MAPA V5 2022'!#REF!="Menor"),CONCATENATE("R7C",'MAPA V5 2022'!#REF!),"")</f>
        <v>#REF!</v>
      </c>
      <c r="Q12" s="46" t="str">
        <f>IF(AND('MAPA V5 2022'!$AA$39="Muy Alta",'MAPA V5 2022'!$AC$39="Menor"),CONCATENATE("R7C",'MAPA V5 2022'!$Q$39),"")</f>
        <v/>
      </c>
      <c r="R12" s="51" t="str">
        <f>IF(AND('MAPA V5 2022'!$AA$40="Muy Alta",'MAPA V5 2022'!$AC$40="Menor"),CONCATENATE("R7C",'MAPA V5 2022'!$Q$40),"")</f>
        <v/>
      </c>
      <c r="S12" s="51" t="e">
        <f>IF(AND('MAPA V5 2022'!#REF!="Muy Alta",'MAPA V5 2022'!#REF!="Menor"),CONCATENATE("R7C",'MAPA V5 2022'!#REF!),"")</f>
        <v>#REF!</v>
      </c>
      <c r="T12" s="51" t="str">
        <f>IF(AND('MAPA V5 2022'!$AA$41="Muy Alta",'MAPA V5 2022'!$AC$41="Menor"),CONCATENATE("R7C",'MAPA V5 2022'!$Q$41),"")</f>
        <v/>
      </c>
      <c r="U12" s="47" t="e">
        <f>IF(AND('MAPA V5 2022'!#REF!="Muy Alta",'MAPA V5 2022'!#REF!="Menor"),CONCATENATE("R7C",'MAPA V5 2022'!#REF!),"")</f>
        <v>#REF!</v>
      </c>
      <c r="V12" s="45" t="e">
        <f>IF(AND('MAPA V5 2022'!#REF!="Muy Alta",'MAPA V5 2022'!#REF!="Moderado"),CONCATENATE("R7C",'MAPA V5 2022'!#REF!),"")</f>
        <v>#REF!</v>
      </c>
      <c r="W12" s="46" t="str">
        <f>IF(AND('MAPA V5 2022'!$AA$39="Muy Alta",'MAPA V5 2022'!$AC$39="Moderado"),CONCATENATE("R7C",'MAPA V5 2022'!$Q$39),"")</f>
        <v/>
      </c>
      <c r="X12" s="51" t="str">
        <f>IF(AND('MAPA V5 2022'!$AA$40="Muy Alta",'MAPA V5 2022'!$AC$40="Moderado"),CONCATENATE("R7C",'MAPA V5 2022'!$Q$40),"")</f>
        <v/>
      </c>
      <c r="Y12" s="51" t="e">
        <f>IF(AND('MAPA V5 2022'!#REF!="Muy Alta",'MAPA V5 2022'!#REF!="Moderado"),CONCATENATE("R7C",'MAPA V5 2022'!#REF!),"")</f>
        <v>#REF!</v>
      </c>
      <c r="Z12" s="51" t="str">
        <f>IF(AND('MAPA V5 2022'!$AA$41="Muy Alta",'MAPA V5 2022'!$AC$41="Moderado"),CONCATENATE("R7C",'MAPA V5 2022'!$Q$41),"")</f>
        <v/>
      </c>
      <c r="AA12" s="47" t="e">
        <f>IF(AND('MAPA V5 2022'!#REF!="Muy Alta",'MAPA V5 2022'!#REF!="Moderado"),CONCATENATE("R7C",'MAPA V5 2022'!#REF!),"")</f>
        <v>#REF!</v>
      </c>
      <c r="AB12" s="45" t="e">
        <f>IF(AND('MAPA V5 2022'!#REF!="Muy Alta",'MAPA V5 2022'!#REF!="Mayor"),CONCATENATE("R7C",'MAPA V5 2022'!#REF!),"")</f>
        <v>#REF!</v>
      </c>
      <c r="AC12" s="46" t="str">
        <f>IF(AND('MAPA V5 2022'!$AA$39="Muy Alta",'MAPA V5 2022'!$AC$39="Mayor"),CONCATENATE("R7C",'MAPA V5 2022'!$Q$39),"")</f>
        <v/>
      </c>
      <c r="AD12" s="51" t="str">
        <f>IF(AND('MAPA V5 2022'!$AA$40="Muy Alta",'MAPA V5 2022'!$AC$40="Mayor"),CONCATENATE("R7C",'MAPA V5 2022'!$Q$40),"")</f>
        <v/>
      </c>
      <c r="AE12" s="51" t="e">
        <f>IF(AND('MAPA V5 2022'!#REF!="Muy Alta",'MAPA V5 2022'!#REF!="Mayor"),CONCATENATE("R7C",'MAPA V5 2022'!#REF!),"")</f>
        <v>#REF!</v>
      </c>
      <c r="AF12" s="51" t="str">
        <f>IF(AND('MAPA V5 2022'!$AA$41="Muy Alta",'MAPA V5 2022'!$AC$41="Mayor"),CONCATENATE("R7C",'MAPA V5 2022'!$Q$41),"")</f>
        <v/>
      </c>
      <c r="AG12" s="47" t="e">
        <f>IF(AND('MAPA V5 2022'!#REF!="Muy Alta",'MAPA V5 2022'!#REF!="Mayor"),CONCATENATE("R7C",'MAPA V5 2022'!#REF!),"")</f>
        <v>#REF!</v>
      </c>
      <c r="AH12" s="48" t="e">
        <f>IF(AND('MAPA V5 2022'!#REF!="Muy Alta",'MAPA V5 2022'!#REF!="Catastrófico"),CONCATENATE("R7C",'MAPA V5 2022'!#REF!),"")</f>
        <v>#REF!</v>
      </c>
      <c r="AI12" s="49" t="str">
        <f>IF(AND('MAPA V5 2022'!$AA$39="Muy Alta",'MAPA V5 2022'!$AC$39="Catastrófico"),CONCATENATE("R7C",'MAPA V5 2022'!$Q$39),"")</f>
        <v/>
      </c>
      <c r="AJ12" s="49" t="str">
        <f>IF(AND('MAPA V5 2022'!$AA$40="Muy Alta",'MAPA V5 2022'!$AC$40="Catastrófico"),CONCATENATE("R7C",'MAPA V5 2022'!$Q$40),"")</f>
        <v/>
      </c>
      <c r="AK12" s="49" t="e">
        <f>IF(AND('MAPA V5 2022'!#REF!="Muy Alta",'MAPA V5 2022'!#REF!="Catastrófico"),CONCATENATE("R7C",'MAPA V5 2022'!#REF!),"")</f>
        <v>#REF!</v>
      </c>
      <c r="AL12" s="49" t="str">
        <f>IF(AND('MAPA V5 2022'!$AA$41="Muy Alta",'MAPA V5 2022'!$AC$41="Catastrófico"),CONCATENATE("R7C",'MAPA V5 2022'!$Q$41),"")</f>
        <v/>
      </c>
      <c r="AM12" s="50" t="e">
        <f>IF(AND('MAPA V5 2022'!#REF!="Muy Alta",'MAPA V5 2022'!#REF!="Catastrófico"),CONCATENATE("R7C",'MAPA V5 2022'!#REF!),"")</f>
        <v>#REF!</v>
      </c>
      <c r="AN12" s="77"/>
      <c r="AO12" s="418"/>
      <c r="AP12" s="419"/>
      <c r="AQ12" s="419"/>
      <c r="AR12" s="419"/>
      <c r="AS12" s="419"/>
      <c r="AT12" s="420"/>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row>
    <row r="13" spans="1:91" ht="15" customHeight="1" x14ac:dyDescent="0.25">
      <c r="A13" s="77"/>
      <c r="B13" s="310"/>
      <c r="C13" s="310"/>
      <c r="D13" s="311"/>
      <c r="E13" s="411"/>
      <c r="F13" s="412"/>
      <c r="G13" s="412"/>
      <c r="H13" s="412"/>
      <c r="I13" s="427"/>
      <c r="J13" s="45" t="e">
        <f>IF(AND('MAPA V5 2022'!#REF!="Muy Alta",'MAPA V5 2022'!#REF!="Leve"),CONCATENATE("R8C",'MAPA V5 2022'!#REF!),"")</f>
        <v>#REF!</v>
      </c>
      <c r="K13" s="46" t="e">
        <f>IF(AND('MAPA V5 2022'!#REF!="Muy Alta",'MAPA V5 2022'!#REF!="Leve"),CONCATENATE("R8C",'MAPA V5 2022'!#REF!),"")</f>
        <v>#REF!</v>
      </c>
      <c r="L13" s="51" t="str">
        <f>IF(AND('MAPA V5 2022'!$AA$42="Muy Alta",'MAPA V5 2022'!$AC$42="Leve"),CONCATENATE("R8C",'MAPA V5 2022'!$Q$42),"")</f>
        <v/>
      </c>
      <c r="M13" s="51" t="str">
        <f>IF(AND('MAPA V5 2022'!$AA$43="Muy Alta",'MAPA V5 2022'!$AC$43="Leve"),CONCATENATE("R8C",'MAPA V5 2022'!$Q$43),"")</f>
        <v/>
      </c>
      <c r="N13" s="51" t="e">
        <f>IF(AND('MAPA V5 2022'!#REF!="Muy Alta",'MAPA V5 2022'!#REF!="Leve"),CONCATENATE("R8C",'MAPA V5 2022'!#REF!),"")</f>
        <v>#REF!</v>
      </c>
      <c r="O13" s="47" t="e">
        <f>IF(AND('MAPA V5 2022'!#REF!="Muy Alta",'MAPA V5 2022'!#REF!="Leve"),CONCATENATE("R8C",'MAPA V5 2022'!#REF!),"")</f>
        <v>#REF!</v>
      </c>
      <c r="P13" s="45" t="e">
        <f>IF(AND('MAPA V5 2022'!#REF!="Muy Alta",'MAPA V5 2022'!#REF!="Menor"),CONCATENATE("R8C",'MAPA V5 2022'!#REF!),"")</f>
        <v>#REF!</v>
      </c>
      <c r="Q13" s="46" t="e">
        <f>IF(AND('MAPA V5 2022'!#REF!="Muy Alta",'MAPA V5 2022'!#REF!="Menor"),CONCATENATE("R8C",'MAPA V5 2022'!#REF!),"")</f>
        <v>#REF!</v>
      </c>
      <c r="R13" s="51" t="str">
        <f>IF(AND('MAPA V5 2022'!$AA$42="Muy Alta",'MAPA V5 2022'!$AC$42="Menor"),CONCATENATE("R8C",'MAPA V5 2022'!$Q$42),"")</f>
        <v/>
      </c>
      <c r="S13" s="51" t="str">
        <f>IF(AND('MAPA V5 2022'!$AA$43="Muy Alta",'MAPA V5 2022'!$AC$43="Menor"),CONCATENATE("R8C",'MAPA V5 2022'!$Q$43),"")</f>
        <v/>
      </c>
      <c r="T13" s="51" t="e">
        <f>IF(AND('MAPA V5 2022'!#REF!="Muy Alta",'MAPA V5 2022'!#REF!="Menor"),CONCATENATE("R8C",'MAPA V5 2022'!#REF!),"")</f>
        <v>#REF!</v>
      </c>
      <c r="U13" s="47" t="e">
        <f>IF(AND('MAPA V5 2022'!#REF!="Muy Alta",'MAPA V5 2022'!#REF!="Menor"),CONCATENATE("R8C",'MAPA V5 2022'!#REF!),"")</f>
        <v>#REF!</v>
      </c>
      <c r="V13" s="45" t="e">
        <f>IF(AND('MAPA V5 2022'!#REF!="Muy Alta",'MAPA V5 2022'!#REF!="Moderado"),CONCATENATE("R8C",'MAPA V5 2022'!#REF!),"")</f>
        <v>#REF!</v>
      </c>
      <c r="W13" s="46" t="e">
        <f>IF(AND('MAPA V5 2022'!#REF!="Muy Alta",'MAPA V5 2022'!#REF!="Moderado"),CONCATENATE("R8C",'MAPA V5 2022'!#REF!),"")</f>
        <v>#REF!</v>
      </c>
      <c r="X13" s="51" t="str">
        <f>IF(AND('MAPA V5 2022'!$AA$42="Muy Alta",'MAPA V5 2022'!$AC$42="Moderado"),CONCATENATE("R8C",'MAPA V5 2022'!$Q$42),"")</f>
        <v/>
      </c>
      <c r="Y13" s="51" t="str">
        <f>IF(AND('MAPA V5 2022'!$AA$43="Muy Alta",'MAPA V5 2022'!$AC$43="Moderado"),CONCATENATE("R8C",'MAPA V5 2022'!$Q$43),"")</f>
        <v/>
      </c>
      <c r="Z13" s="51" t="e">
        <f>IF(AND('MAPA V5 2022'!#REF!="Muy Alta",'MAPA V5 2022'!#REF!="Moderado"),CONCATENATE("R8C",'MAPA V5 2022'!#REF!),"")</f>
        <v>#REF!</v>
      </c>
      <c r="AA13" s="47" t="e">
        <f>IF(AND('MAPA V5 2022'!#REF!="Muy Alta",'MAPA V5 2022'!#REF!="Moderado"),CONCATENATE("R8C",'MAPA V5 2022'!#REF!),"")</f>
        <v>#REF!</v>
      </c>
      <c r="AB13" s="45" t="e">
        <f>IF(AND('MAPA V5 2022'!#REF!="Muy Alta",'MAPA V5 2022'!#REF!="Mayor"),CONCATENATE("R8C",'MAPA V5 2022'!#REF!),"")</f>
        <v>#REF!</v>
      </c>
      <c r="AC13" s="46" t="e">
        <f>IF(AND('MAPA V5 2022'!#REF!="Muy Alta",'MAPA V5 2022'!#REF!="Mayor"),CONCATENATE("R8C",'MAPA V5 2022'!#REF!),"")</f>
        <v>#REF!</v>
      </c>
      <c r="AD13" s="51" t="str">
        <f>IF(AND('MAPA V5 2022'!$AA$42="Muy Alta",'MAPA V5 2022'!$AC$42="Mayor"),CONCATENATE("R8C",'MAPA V5 2022'!$Q$42),"")</f>
        <v/>
      </c>
      <c r="AE13" s="51" t="str">
        <f>IF(AND('MAPA V5 2022'!$AA$43="Muy Alta",'MAPA V5 2022'!$AC$43="Mayor"),CONCATENATE("R8C",'MAPA V5 2022'!$Q$43),"")</f>
        <v/>
      </c>
      <c r="AF13" s="51" t="e">
        <f>IF(AND('MAPA V5 2022'!#REF!="Muy Alta",'MAPA V5 2022'!#REF!="Mayor"),CONCATENATE("R8C",'MAPA V5 2022'!#REF!),"")</f>
        <v>#REF!</v>
      </c>
      <c r="AG13" s="47" t="e">
        <f>IF(AND('MAPA V5 2022'!#REF!="Muy Alta",'MAPA V5 2022'!#REF!="Mayor"),CONCATENATE("R8C",'MAPA V5 2022'!#REF!),"")</f>
        <v>#REF!</v>
      </c>
      <c r="AH13" s="48" t="e">
        <f>IF(AND('MAPA V5 2022'!#REF!="Muy Alta",'MAPA V5 2022'!#REF!="Catastrófico"),CONCATENATE("R8C",'MAPA V5 2022'!#REF!),"")</f>
        <v>#REF!</v>
      </c>
      <c r="AI13" s="49" t="e">
        <f>IF(AND('MAPA V5 2022'!#REF!="Muy Alta",'MAPA V5 2022'!#REF!="Catastrófico"),CONCATENATE("R8C",'MAPA V5 2022'!#REF!),"")</f>
        <v>#REF!</v>
      </c>
      <c r="AJ13" s="49" t="str">
        <f>IF(AND('MAPA V5 2022'!$AA$42="Muy Alta",'MAPA V5 2022'!$AC$42="Catastrófico"),CONCATENATE("R8C",'MAPA V5 2022'!$Q$42),"")</f>
        <v/>
      </c>
      <c r="AK13" s="49" t="str">
        <f>IF(AND('MAPA V5 2022'!$AA$43="Muy Alta",'MAPA V5 2022'!$AC$43="Catastrófico"),CONCATENATE("R8C",'MAPA V5 2022'!$Q$43),"")</f>
        <v/>
      </c>
      <c r="AL13" s="49" t="e">
        <f>IF(AND('MAPA V5 2022'!#REF!="Muy Alta",'MAPA V5 2022'!#REF!="Catastrófico"),CONCATENATE("R8C",'MAPA V5 2022'!#REF!),"")</f>
        <v>#REF!</v>
      </c>
      <c r="AM13" s="50" t="e">
        <f>IF(AND('MAPA V5 2022'!#REF!="Muy Alta",'MAPA V5 2022'!#REF!="Catastrófico"),CONCATENATE("R8C",'MAPA V5 2022'!#REF!),"")</f>
        <v>#REF!</v>
      </c>
      <c r="AN13" s="77"/>
      <c r="AO13" s="418"/>
      <c r="AP13" s="419"/>
      <c r="AQ13" s="419"/>
      <c r="AR13" s="419"/>
      <c r="AS13" s="419"/>
      <c r="AT13" s="420"/>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row>
    <row r="14" spans="1:91" ht="15" customHeight="1" x14ac:dyDescent="0.25">
      <c r="A14" s="77"/>
      <c r="B14" s="310"/>
      <c r="C14" s="310"/>
      <c r="D14" s="311"/>
      <c r="E14" s="411"/>
      <c r="F14" s="412"/>
      <c r="G14" s="412"/>
      <c r="H14" s="412"/>
      <c r="I14" s="427"/>
      <c r="J14" s="45" t="str">
        <f>IF(AND('MAPA V5 2022'!$AA$44="Muy Alta",'MAPA V5 2022'!$AC$44="Leve"),CONCATENATE("R9C",'MAPA V5 2022'!$Q$44),"")</f>
        <v/>
      </c>
      <c r="K14" s="46" t="str">
        <f>IF(AND('MAPA V5 2022'!$AA$45="Muy Alta",'MAPA V5 2022'!$AC$45="Leve"),CONCATENATE("R9C",'MAPA V5 2022'!$Q$45),"")</f>
        <v/>
      </c>
      <c r="L14" s="51" t="e">
        <f>IF(AND('MAPA V5 2022'!#REF!="Muy Alta",'MAPA V5 2022'!#REF!="Leve"),CONCATENATE("R9C",'MAPA V5 2022'!#REF!),"")</f>
        <v>#REF!</v>
      </c>
      <c r="M14" s="51" t="e">
        <f>IF(AND('MAPA V5 2022'!#REF!="Muy Alta",'MAPA V5 2022'!#REF!="Leve"),CONCATENATE("R9C",'MAPA V5 2022'!#REF!),"")</f>
        <v>#REF!</v>
      </c>
      <c r="N14" s="51" t="str">
        <f>IF(AND('MAPA V5 2022'!$AA$46="Muy Alta",'MAPA V5 2022'!$AC$46="Leve"),CONCATENATE("R9C",'MAPA V5 2022'!$Q$46),"")</f>
        <v/>
      </c>
      <c r="O14" s="47" t="e">
        <f>IF(AND('MAPA V5 2022'!#REF!="Muy Alta",'MAPA V5 2022'!#REF!="Leve"),CONCATENATE("R9C",'MAPA V5 2022'!#REF!),"")</f>
        <v>#REF!</v>
      </c>
      <c r="P14" s="45" t="str">
        <f>IF(AND('MAPA V5 2022'!$AA$44="Muy Alta",'MAPA V5 2022'!$AC$44="Menor"),CONCATENATE("R9C",'MAPA V5 2022'!$Q$44),"")</f>
        <v/>
      </c>
      <c r="Q14" s="46" t="str">
        <f>IF(AND('MAPA V5 2022'!$AA$45="Muy Alta",'MAPA V5 2022'!$AC$45="Menor"),CONCATENATE("R9C",'MAPA V5 2022'!$Q$45),"")</f>
        <v/>
      </c>
      <c r="R14" s="51" t="e">
        <f>IF(AND('MAPA V5 2022'!#REF!="Muy Alta",'MAPA V5 2022'!#REF!="Menor"),CONCATENATE("R9C",'MAPA V5 2022'!#REF!),"")</f>
        <v>#REF!</v>
      </c>
      <c r="S14" s="51" t="e">
        <f>IF(AND('MAPA V5 2022'!#REF!="Muy Alta",'MAPA V5 2022'!#REF!="Menor"),CONCATENATE("R9C",'MAPA V5 2022'!#REF!),"")</f>
        <v>#REF!</v>
      </c>
      <c r="T14" s="51" t="str">
        <f>IF(AND('MAPA V5 2022'!$AA$46="Muy Alta",'MAPA V5 2022'!$AC$46="Menor"),CONCATENATE("R9C",'MAPA V5 2022'!$Q$46),"")</f>
        <v/>
      </c>
      <c r="U14" s="47" t="e">
        <f>IF(AND('MAPA V5 2022'!#REF!="Muy Alta",'MAPA V5 2022'!#REF!="Menor"),CONCATENATE("R9C",'MAPA V5 2022'!#REF!),"")</f>
        <v>#REF!</v>
      </c>
      <c r="V14" s="45" t="str">
        <f>IF(AND('MAPA V5 2022'!$AA$44="Muy Alta",'MAPA V5 2022'!$AC$44="Moderado"),CONCATENATE("R9C",'MAPA V5 2022'!$Q$44),"")</f>
        <v/>
      </c>
      <c r="W14" s="46" t="str">
        <f>IF(AND('MAPA V5 2022'!$AA$45="Muy Alta",'MAPA V5 2022'!$AC$45="Moderado"),CONCATENATE("R9C",'MAPA V5 2022'!$Q$45),"")</f>
        <v/>
      </c>
      <c r="X14" s="51" t="e">
        <f>IF(AND('MAPA V5 2022'!#REF!="Muy Alta",'MAPA V5 2022'!#REF!="Moderado"),CONCATENATE("R9C",'MAPA V5 2022'!#REF!),"")</f>
        <v>#REF!</v>
      </c>
      <c r="Y14" s="51" t="e">
        <f>IF(AND('MAPA V5 2022'!#REF!="Muy Alta",'MAPA V5 2022'!#REF!="Moderado"),CONCATENATE("R9C",'MAPA V5 2022'!#REF!),"")</f>
        <v>#REF!</v>
      </c>
      <c r="Z14" s="51" t="str">
        <f>IF(AND('MAPA V5 2022'!$AA$46="Muy Alta",'MAPA V5 2022'!$AC$46="Moderado"),CONCATENATE("R9C",'MAPA V5 2022'!$Q$46),"")</f>
        <v/>
      </c>
      <c r="AA14" s="47" t="e">
        <f>IF(AND('MAPA V5 2022'!#REF!="Muy Alta",'MAPA V5 2022'!#REF!="Moderado"),CONCATENATE("R9C",'MAPA V5 2022'!#REF!),"")</f>
        <v>#REF!</v>
      </c>
      <c r="AB14" s="45" t="str">
        <f>IF(AND('MAPA V5 2022'!$AA$44="Muy Alta",'MAPA V5 2022'!$AC$44="Mayor"),CONCATENATE("R9C",'MAPA V5 2022'!$Q$44),"")</f>
        <v/>
      </c>
      <c r="AC14" s="46" t="str">
        <f>IF(AND('MAPA V5 2022'!$AA$45="Muy Alta",'MAPA V5 2022'!$AC$45="Mayor"),CONCATENATE("R9C",'MAPA V5 2022'!$Q$45),"")</f>
        <v/>
      </c>
      <c r="AD14" s="51" t="e">
        <f>IF(AND('MAPA V5 2022'!#REF!="Muy Alta",'MAPA V5 2022'!#REF!="Mayor"),CONCATENATE("R9C",'MAPA V5 2022'!#REF!),"")</f>
        <v>#REF!</v>
      </c>
      <c r="AE14" s="51" t="e">
        <f>IF(AND('MAPA V5 2022'!#REF!="Muy Alta",'MAPA V5 2022'!#REF!="Mayor"),CONCATENATE("R9C",'MAPA V5 2022'!#REF!),"")</f>
        <v>#REF!</v>
      </c>
      <c r="AF14" s="51" t="str">
        <f>IF(AND('MAPA V5 2022'!$AA$46="Muy Alta",'MAPA V5 2022'!$AC$46="Mayor"),CONCATENATE("R9C",'MAPA V5 2022'!$Q$46),"")</f>
        <v/>
      </c>
      <c r="AG14" s="47" t="e">
        <f>IF(AND('MAPA V5 2022'!#REF!="Muy Alta",'MAPA V5 2022'!#REF!="Mayor"),CONCATENATE("R9C",'MAPA V5 2022'!#REF!),"")</f>
        <v>#REF!</v>
      </c>
      <c r="AH14" s="48" t="str">
        <f>IF(AND('MAPA V5 2022'!$AA$44="Muy Alta",'MAPA V5 2022'!$AC$44="Catastrófico"),CONCATENATE("R9C",'MAPA V5 2022'!$Q$44),"")</f>
        <v/>
      </c>
      <c r="AI14" s="49" t="str">
        <f>IF(AND('MAPA V5 2022'!$AA$45="Muy Alta",'MAPA V5 2022'!$AC$45="Catastrófico"),CONCATENATE("R9C",'MAPA V5 2022'!$Q$45),"")</f>
        <v/>
      </c>
      <c r="AJ14" s="49" t="e">
        <f>IF(AND('MAPA V5 2022'!#REF!="Muy Alta",'MAPA V5 2022'!#REF!="Catastrófico"),CONCATENATE("R9C",'MAPA V5 2022'!#REF!),"")</f>
        <v>#REF!</v>
      </c>
      <c r="AK14" s="49" t="e">
        <f>IF(AND('MAPA V5 2022'!#REF!="Muy Alta",'MAPA V5 2022'!#REF!="Catastrófico"),CONCATENATE("R9C",'MAPA V5 2022'!#REF!),"")</f>
        <v>#REF!</v>
      </c>
      <c r="AL14" s="49" t="str">
        <f>IF(AND('MAPA V5 2022'!$AA$46="Muy Alta",'MAPA V5 2022'!$AC$46="Catastrófico"),CONCATENATE("R9C",'MAPA V5 2022'!$Q$46),"")</f>
        <v/>
      </c>
      <c r="AM14" s="50" t="e">
        <f>IF(AND('MAPA V5 2022'!#REF!="Muy Alta",'MAPA V5 2022'!#REF!="Catastrófico"),CONCATENATE("R9C",'MAPA V5 2022'!#REF!),"")</f>
        <v>#REF!</v>
      </c>
      <c r="AN14" s="77"/>
      <c r="AO14" s="418"/>
      <c r="AP14" s="419"/>
      <c r="AQ14" s="419"/>
      <c r="AR14" s="419"/>
      <c r="AS14" s="419"/>
      <c r="AT14" s="420"/>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row>
    <row r="15" spans="1:91" ht="15.75" customHeight="1" thickBot="1" x14ac:dyDescent="0.3">
      <c r="A15" s="77"/>
      <c r="B15" s="310"/>
      <c r="C15" s="310"/>
      <c r="D15" s="311"/>
      <c r="E15" s="413"/>
      <c r="F15" s="414"/>
      <c r="G15" s="414"/>
      <c r="H15" s="414"/>
      <c r="I15" s="428"/>
      <c r="J15" s="52" t="e">
        <f>IF(AND('MAPA V5 2022'!#REF!="Muy Alta",'MAPA V5 2022'!#REF!="Leve"),CONCATENATE("R10C",'MAPA V5 2022'!#REF!),"")</f>
        <v>#REF!</v>
      </c>
      <c r="K15" s="53" t="str">
        <f>IF(AND('MAPA V5 2022'!$AA$48="Muy Alta",'MAPA V5 2022'!$AC$48="Leve"),CONCATENATE("R10C",'MAPA V5 2022'!$Q$48),"")</f>
        <v/>
      </c>
      <c r="L15" s="53" t="str">
        <f>IF(AND('MAPA V5 2022'!$AA$51="Muy Alta",'MAPA V5 2022'!$AC$51="Leve"),CONCATENATE("R10C",'MAPA V5 2022'!$Q$51),"")</f>
        <v/>
      </c>
      <c r="M15" s="53" t="e">
        <f>IF(AND('MAPA V5 2022'!#REF!="Muy Alta",'MAPA V5 2022'!#REF!="Leve"),CONCATENATE("R10C",'MAPA V5 2022'!#REF!),"")</f>
        <v>#REF!</v>
      </c>
      <c r="N15" s="53" t="e">
        <f>IF(AND('MAPA V5 2022'!#REF!="Muy Alta",'MAPA V5 2022'!#REF!="Leve"),CONCATENATE("R10C",'MAPA V5 2022'!#REF!),"")</f>
        <v>#REF!</v>
      </c>
      <c r="O15" s="54" t="e">
        <f>IF(AND('MAPA V5 2022'!#REF!="Muy Alta",'MAPA V5 2022'!#REF!="Leve"),CONCATENATE("R10C",'MAPA V5 2022'!#REF!),"")</f>
        <v>#REF!</v>
      </c>
      <c r="P15" s="45" t="e">
        <f>IF(AND('MAPA V5 2022'!#REF!="Muy Alta",'MAPA V5 2022'!#REF!="Menor"),CONCATENATE("R10C",'MAPA V5 2022'!#REF!),"")</f>
        <v>#REF!</v>
      </c>
      <c r="Q15" s="46" t="str">
        <f>IF(AND('MAPA V5 2022'!$AA$48="Muy Alta",'MAPA V5 2022'!$AC$48="Menor"),CONCATENATE("R10C",'MAPA V5 2022'!$Q$48),"")</f>
        <v/>
      </c>
      <c r="R15" s="46" t="str">
        <f>IF(AND('MAPA V5 2022'!$AA$51="Muy Alta",'MAPA V5 2022'!$AC$51="Menor"),CONCATENATE("R10C",'MAPA V5 2022'!$Q$51),"")</f>
        <v/>
      </c>
      <c r="S15" s="46" t="e">
        <f>IF(AND('MAPA V5 2022'!#REF!="Muy Alta",'MAPA V5 2022'!#REF!="Menor"),CONCATENATE("R10C",'MAPA V5 2022'!#REF!),"")</f>
        <v>#REF!</v>
      </c>
      <c r="T15" s="46" t="e">
        <f>IF(AND('MAPA V5 2022'!#REF!="Muy Alta",'MAPA V5 2022'!#REF!="Menor"),CONCATENATE("R10C",'MAPA V5 2022'!#REF!),"")</f>
        <v>#REF!</v>
      </c>
      <c r="U15" s="47" t="e">
        <f>IF(AND('MAPA V5 2022'!#REF!="Muy Alta",'MAPA V5 2022'!#REF!="Menor"),CONCATENATE("R10C",'MAPA V5 2022'!#REF!),"")</f>
        <v>#REF!</v>
      </c>
      <c r="V15" s="52" t="e">
        <f>IF(AND('MAPA V5 2022'!#REF!="Muy Alta",'MAPA V5 2022'!#REF!="Moderado"),CONCATENATE("R10C",'MAPA V5 2022'!#REF!),"")</f>
        <v>#REF!</v>
      </c>
      <c r="W15" s="53" t="str">
        <f>IF(AND('MAPA V5 2022'!$AA$48="Muy Alta",'MAPA V5 2022'!$AC$48="Moderado"),CONCATENATE("R10C",'MAPA V5 2022'!$Q$48),"")</f>
        <v/>
      </c>
      <c r="X15" s="53" t="str">
        <f>IF(AND('MAPA V5 2022'!$AA$51="Muy Alta",'MAPA V5 2022'!$AC$51="Moderado"),CONCATENATE("R10C",'MAPA V5 2022'!$Q$51),"")</f>
        <v/>
      </c>
      <c r="Y15" s="53" t="e">
        <f>IF(AND('MAPA V5 2022'!#REF!="Muy Alta",'MAPA V5 2022'!#REF!="Moderado"),CONCATENATE("R10C",'MAPA V5 2022'!#REF!),"")</f>
        <v>#REF!</v>
      </c>
      <c r="Z15" s="53" t="e">
        <f>IF(AND('MAPA V5 2022'!#REF!="Muy Alta",'MAPA V5 2022'!#REF!="Moderado"),CONCATENATE("R10C",'MAPA V5 2022'!#REF!),"")</f>
        <v>#REF!</v>
      </c>
      <c r="AA15" s="54" t="e">
        <f>IF(AND('MAPA V5 2022'!#REF!="Muy Alta",'MAPA V5 2022'!#REF!="Moderado"),CONCATENATE("R10C",'MAPA V5 2022'!#REF!),"")</f>
        <v>#REF!</v>
      </c>
      <c r="AB15" s="45" t="e">
        <f>IF(AND('MAPA V5 2022'!#REF!="Muy Alta",'MAPA V5 2022'!#REF!="Mayor"),CONCATENATE("R10C",'MAPA V5 2022'!#REF!),"")</f>
        <v>#REF!</v>
      </c>
      <c r="AC15" s="46" t="str">
        <f>IF(AND('MAPA V5 2022'!$AA$48="Muy Alta",'MAPA V5 2022'!$AC$48="Mayor"),CONCATENATE("R10C",'MAPA V5 2022'!$Q$48),"")</f>
        <v/>
      </c>
      <c r="AD15" s="46" t="str">
        <f>IF(AND('MAPA V5 2022'!$AA$51="Muy Alta",'MAPA V5 2022'!$AC$51="Mayor"),CONCATENATE("R10C",'MAPA V5 2022'!$Q$51),"")</f>
        <v/>
      </c>
      <c r="AE15" s="46" t="e">
        <f>IF(AND('MAPA V5 2022'!#REF!="Muy Alta",'MAPA V5 2022'!#REF!="Mayor"),CONCATENATE("R10C",'MAPA V5 2022'!#REF!),"")</f>
        <v>#REF!</v>
      </c>
      <c r="AF15" s="46" t="e">
        <f>IF(AND('MAPA V5 2022'!#REF!="Muy Alta",'MAPA V5 2022'!#REF!="Mayor"),CONCATENATE("R10C",'MAPA V5 2022'!#REF!),"")</f>
        <v>#REF!</v>
      </c>
      <c r="AG15" s="47" t="e">
        <f>IF(AND('MAPA V5 2022'!#REF!="Muy Alta",'MAPA V5 2022'!#REF!="Mayor"),CONCATENATE("R10C",'MAPA V5 2022'!#REF!),"")</f>
        <v>#REF!</v>
      </c>
      <c r="AH15" s="55" t="e">
        <f>IF(AND('MAPA V5 2022'!#REF!="Muy Alta",'MAPA V5 2022'!#REF!="Catastrófico"),CONCATENATE("R10C",'MAPA V5 2022'!#REF!),"")</f>
        <v>#REF!</v>
      </c>
      <c r="AI15" s="56" t="str">
        <f>IF(AND('MAPA V5 2022'!$AA$48="Muy Alta",'MAPA V5 2022'!$AC$48="Catastrófico"),CONCATENATE("R10C",'MAPA V5 2022'!$Q$48),"")</f>
        <v/>
      </c>
      <c r="AJ15" s="56" t="str">
        <f>IF(AND('MAPA V5 2022'!$AA$51="Muy Alta",'MAPA V5 2022'!$AC$51="Catastrófico"),CONCATENATE("R10C",'MAPA V5 2022'!$Q$51),"")</f>
        <v/>
      </c>
      <c r="AK15" s="56" t="e">
        <f>IF(AND('MAPA V5 2022'!#REF!="Muy Alta",'MAPA V5 2022'!#REF!="Catastrófico"),CONCATENATE("R10C",'MAPA V5 2022'!#REF!),"")</f>
        <v>#REF!</v>
      </c>
      <c r="AL15" s="56" t="e">
        <f>IF(AND('MAPA V5 2022'!#REF!="Muy Alta",'MAPA V5 2022'!#REF!="Catastrófico"),CONCATENATE("R10C",'MAPA V5 2022'!#REF!),"")</f>
        <v>#REF!</v>
      </c>
      <c r="AM15" s="57" t="e">
        <f>IF(AND('MAPA V5 2022'!#REF!="Muy Alta",'MAPA V5 2022'!#REF!="Catastrófico"),CONCATENATE("R10C",'MAPA V5 2022'!#REF!),"")</f>
        <v>#REF!</v>
      </c>
      <c r="AN15" s="77"/>
      <c r="AO15" s="421"/>
      <c r="AP15" s="422"/>
      <c r="AQ15" s="422"/>
      <c r="AR15" s="422"/>
      <c r="AS15" s="422"/>
      <c r="AT15" s="423"/>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row>
    <row r="16" spans="1:91" ht="15" customHeight="1" x14ac:dyDescent="0.25">
      <c r="A16" s="77"/>
      <c r="B16" s="310"/>
      <c r="C16" s="310"/>
      <c r="D16" s="311"/>
      <c r="E16" s="407" t="s">
        <v>96</v>
      </c>
      <c r="F16" s="408"/>
      <c r="G16" s="408"/>
      <c r="H16" s="408"/>
      <c r="I16" s="408"/>
      <c r="J16" s="58" t="str">
        <f>IF(AND('MAPA V5 2022'!$AA$7="Alta",'MAPA V5 2022'!$AC$7="Leve"),CONCATENATE("R1C",'MAPA V5 2022'!$Q$7),"")</f>
        <v/>
      </c>
      <c r="K16" s="59" t="str">
        <f>IF(AND('MAPA V5 2022'!$AA$10="Alta",'MAPA V5 2022'!$AC$10="Leve"),CONCATENATE("R1C",'MAPA V5 2022'!$Q$10),"")</f>
        <v/>
      </c>
      <c r="L16" s="59" t="str">
        <f>IF(AND('MAPA V5 2022'!$AA$11="Alta",'MAPA V5 2022'!$AC$11="Leve"),CONCATENATE("R1C",'MAPA V5 2022'!$Q$11),"")</f>
        <v/>
      </c>
      <c r="M16" s="59" t="e">
        <f>IF(AND('MAPA V5 2022'!#REF!="Alta",'MAPA V5 2022'!#REF!="Leve"),CONCATENATE("R1C",'MAPA V5 2022'!#REF!),"")</f>
        <v>#REF!</v>
      </c>
      <c r="N16" s="59" t="e">
        <f>IF(AND('MAPA V5 2022'!#REF!="Alta",'MAPA V5 2022'!#REF!="Leve"),CONCATENATE("R1C",'MAPA V5 2022'!#REF!),"")</f>
        <v>#REF!</v>
      </c>
      <c r="O16" s="60" t="e">
        <f>IF(AND('MAPA V5 2022'!#REF!="Alta",'MAPA V5 2022'!#REF!="Leve"),CONCATENATE("R1C",'MAPA V5 2022'!#REF!),"")</f>
        <v>#REF!</v>
      </c>
      <c r="P16" s="58" t="str">
        <f>IF(AND('MAPA V5 2022'!$AA$7="Alta",'MAPA V5 2022'!$AC$7="Menor"),CONCATENATE("R1C",'MAPA V5 2022'!$Q$7),"")</f>
        <v/>
      </c>
      <c r="Q16" s="59" t="str">
        <f>IF(AND('MAPA V5 2022'!$AA$10="Alta",'MAPA V5 2022'!$AC$10="Menor"),CONCATENATE("R1C",'MAPA V5 2022'!$Q$10),"")</f>
        <v/>
      </c>
      <c r="R16" s="59" t="str">
        <f>IF(AND('MAPA V5 2022'!$AA$11="Alta",'MAPA V5 2022'!$AC$11="Menor"),CONCATENATE("R1C",'MAPA V5 2022'!$Q$11),"")</f>
        <v/>
      </c>
      <c r="S16" s="59" t="e">
        <f>IF(AND('MAPA V5 2022'!#REF!="Alta",'MAPA V5 2022'!#REF!="Menor"),CONCATENATE("R1C",'MAPA V5 2022'!#REF!),"")</f>
        <v>#REF!</v>
      </c>
      <c r="T16" s="59" t="e">
        <f>IF(AND('MAPA V5 2022'!#REF!="Alta",'MAPA V5 2022'!#REF!="Menor"),CONCATENATE("R1C",'MAPA V5 2022'!#REF!),"")</f>
        <v>#REF!</v>
      </c>
      <c r="U16" s="60" t="e">
        <f>IF(AND('MAPA V5 2022'!#REF!="Alta",'MAPA V5 2022'!#REF!="Menor"),CONCATENATE("R1C",'MAPA V5 2022'!#REF!),"")</f>
        <v>#REF!</v>
      </c>
      <c r="V16" s="39" t="str">
        <f>IF(AND('MAPA V5 2022'!$AA$7="Alta",'MAPA V5 2022'!$AC$7="Moderado"),CONCATENATE("R1C",'MAPA V5 2022'!$Q$7),"")</f>
        <v/>
      </c>
      <c r="W16" s="40" t="str">
        <f>IF(AND('MAPA V5 2022'!$AA$10="Alta",'MAPA V5 2022'!$AC$10="Moderado"),CONCATENATE("R1C",'MAPA V5 2022'!$Q$10),"")</f>
        <v/>
      </c>
      <c r="X16" s="40" t="str">
        <f>IF(AND('MAPA V5 2022'!$AA$11="Alta",'MAPA V5 2022'!$AC$11="Moderado"),CONCATENATE("R1C",'MAPA V5 2022'!$Q$11),"")</f>
        <v/>
      </c>
      <c r="Y16" s="40" t="e">
        <f>IF(AND('MAPA V5 2022'!#REF!="Alta",'MAPA V5 2022'!#REF!="Moderado"),CONCATENATE("R1C",'MAPA V5 2022'!#REF!),"")</f>
        <v>#REF!</v>
      </c>
      <c r="Z16" s="40" t="e">
        <f>IF(AND('MAPA V5 2022'!#REF!="Alta",'MAPA V5 2022'!#REF!="Moderado"),CONCATENATE("R1C",'MAPA V5 2022'!#REF!),"")</f>
        <v>#REF!</v>
      </c>
      <c r="AA16" s="41" t="e">
        <f>IF(AND('MAPA V5 2022'!#REF!="Alta",'MAPA V5 2022'!#REF!="Moderado"),CONCATENATE("R1C",'MAPA V5 2022'!#REF!),"")</f>
        <v>#REF!</v>
      </c>
      <c r="AB16" s="39" t="str">
        <f>IF(AND('MAPA V5 2022'!$AA$7="Alta",'MAPA V5 2022'!$AC$7="Mayor"),CONCATENATE("R1C",'MAPA V5 2022'!$Q$7),"")</f>
        <v/>
      </c>
      <c r="AC16" s="40" t="str">
        <f>IF(AND('MAPA V5 2022'!$AA$10="Alta",'MAPA V5 2022'!$AC$10="Mayor"),CONCATENATE("R1C",'MAPA V5 2022'!$Q$10),"")</f>
        <v/>
      </c>
      <c r="AD16" s="40" t="str">
        <f>IF(AND('MAPA V5 2022'!$AA$11="Alta",'MAPA V5 2022'!$AC$11="Mayor"),CONCATENATE("R1C",'MAPA V5 2022'!$Q$11),"")</f>
        <v/>
      </c>
      <c r="AE16" s="40" t="e">
        <f>IF(AND('MAPA V5 2022'!#REF!="Alta",'MAPA V5 2022'!#REF!="Mayor"),CONCATENATE("R1C",'MAPA V5 2022'!#REF!),"")</f>
        <v>#REF!</v>
      </c>
      <c r="AF16" s="40" t="e">
        <f>IF(AND('MAPA V5 2022'!#REF!="Alta",'MAPA V5 2022'!#REF!="Mayor"),CONCATENATE("R1C",'MAPA V5 2022'!#REF!),"")</f>
        <v>#REF!</v>
      </c>
      <c r="AG16" s="41" t="e">
        <f>IF(AND('MAPA V5 2022'!#REF!="Alta",'MAPA V5 2022'!#REF!="Mayor"),CONCATENATE("R1C",'MAPA V5 2022'!#REF!),"")</f>
        <v>#REF!</v>
      </c>
      <c r="AH16" s="42" t="str">
        <f>IF(AND('MAPA V5 2022'!$AA$7="Alta",'MAPA V5 2022'!$AC$7="Catastrófico"),CONCATENATE("R1C",'MAPA V5 2022'!$Q$7),"")</f>
        <v/>
      </c>
      <c r="AI16" s="43" t="str">
        <f>IF(AND('MAPA V5 2022'!$AA$10="Alta",'MAPA V5 2022'!$AC$10="Catastrófico"),CONCATENATE("R1C",'MAPA V5 2022'!$Q$10),"")</f>
        <v/>
      </c>
      <c r="AJ16" s="43" t="str">
        <f>IF(AND('MAPA V5 2022'!$AA$11="Alta",'MAPA V5 2022'!$AC$11="Catastrófico"),CONCATENATE("R1C",'MAPA V5 2022'!$Q$11),"")</f>
        <v/>
      </c>
      <c r="AK16" s="43" t="e">
        <f>IF(AND('MAPA V5 2022'!#REF!="Alta",'MAPA V5 2022'!#REF!="Catastrófico"),CONCATENATE("R1C",'MAPA V5 2022'!#REF!),"")</f>
        <v>#REF!</v>
      </c>
      <c r="AL16" s="43" t="e">
        <f>IF(AND('MAPA V5 2022'!#REF!="Alta",'MAPA V5 2022'!#REF!="Catastrófico"),CONCATENATE("R1C",'MAPA V5 2022'!#REF!),"")</f>
        <v>#REF!</v>
      </c>
      <c r="AM16" s="44" t="e">
        <f>IF(AND('MAPA V5 2022'!#REF!="Alta",'MAPA V5 2022'!#REF!="Catastrófico"),CONCATENATE("R1C",'MAPA V5 2022'!#REF!),"")</f>
        <v>#REF!</v>
      </c>
      <c r="AN16" s="77"/>
      <c r="AO16" s="398" t="s">
        <v>64</v>
      </c>
      <c r="AP16" s="399"/>
      <c r="AQ16" s="399"/>
      <c r="AR16" s="399"/>
      <c r="AS16" s="399"/>
      <c r="AT16" s="400"/>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row>
    <row r="17" spans="1:76" ht="15" customHeight="1" x14ac:dyDescent="0.25">
      <c r="A17" s="77"/>
      <c r="B17" s="310"/>
      <c r="C17" s="310"/>
      <c r="D17" s="311"/>
      <c r="E17" s="409"/>
      <c r="F17" s="410"/>
      <c r="G17" s="410"/>
      <c r="H17" s="410"/>
      <c r="I17" s="410"/>
      <c r="J17" s="61" t="str">
        <f>IF(AND('MAPA V5 2022'!$AA$12="Alta",'MAPA V5 2022'!$AC$12="Leve"),CONCATENATE("R2C",'MAPA V5 2022'!$Q$12),"")</f>
        <v/>
      </c>
      <c r="K17" s="62" t="str">
        <f>IF(AND('MAPA V5 2022'!$AA$13="Alta",'MAPA V5 2022'!$AC$13="Leve"),CONCATENATE("R2C",'MAPA V5 2022'!$Q$13),"")</f>
        <v/>
      </c>
      <c r="L17" s="62" t="str">
        <f>IF(AND('MAPA V5 2022'!$AA$14="Alta",'MAPA V5 2022'!$AC$14="Leve"),CONCATENATE("R2C",'MAPA V5 2022'!$Q$14),"")</f>
        <v/>
      </c>
      <c r="M17" s="62" t="str">
        <f>IF(AND('MAPA V5 2022'!$AA$15="Alta",'MAPA V5 2022'!$AC$15="Leve"),CONCATENATE("R2C",'MAPA V5 2022'!$Q$15),"")</f>
        <v/>
      </c>
      <c r="N17" s="62" t="str">
        <f>IF(AND('MAPA V5 2022'!$AA$17="Alta",'MAPA V5 2022'!$AC$17="Leve"),CONCATENATE("R2C",'MAPA V5 2022'!$Q$17),"")</f>
        <v/>
      </c>
      <c r="O17" s="63" t="e">
        <f>IF(AND('MAPA V5 2022'!#REF!="Alta",'MAPA V5 2022'!#REF!="Leve"),CONCATENATE("R2C",'MAPA V5 2022'!#REF!),"")</f>
        <v>#REF!</v>
      </c>
      <c r="P17" s="61" t="str">
        <f>IF(AND('MAPA V5 2022'!$AA$12="Alta",'MAPA V5 2022'!$AC$12="Menor"),CONCATENATE("R2C",'MAPA V5 2022'!$Q$12),"")</f>
        <v/>
      </c>
      <c r="Q17" s="62" t="str">
        <f>IF(AND('MAPA V5 2022'!$AA$13="Alta",'MAPA V5 2022'!$AC$13="Menor"),CONCATENATE("R2C",'MAPA V5 2022'!$Q$13),"")</f>
        <v/>
      </c>
      <c r="R17" s="62" t="str">
        <f>IF(AND('MAPA V5 2022'!$AA$14="Alta",'MAPA V5 2022'!$AC$14="Menor"),CONCATENATE("R2C",'MAPA V5 2022'!$Q$14),"")</f>
        <v/>
      </c>
      <c r="S17" s="62" t="str">
        <f>IF(AND('MAPA V5 2022'!$AA$15="Alta",'MAPA V5 2022'!$AC$15="Menor"),CONCATENATE("R2C",'MAPA V5 2022'!$Q$15),"")</f>
        <v/>
      </c>
      <c r="T17" s="62" t="str">
        <f>IF(AND('MAPA V5 2022'!$AA$17="Alta",'MAPA V5 2022'!$AC$17="Menor"),CONCATENATE("R2C",'MAPA V5 2022'!$Q$17),"")</f>
        <v/>
      </c>
      <c r="U17" s="63" t="e">
        <f>IF(AND('MAPA V5 2022'!#REF!="Alta",'MAPA V5 2022'!#REF!="Menor"),CONCATENATE("R2C",'MAPA V5 2022'!#REF!),"")</f>
        <v>#REF!</v>
      </c>
      <c r="V17" s="45" t="str">
        <f>IF(AND('MAPA V5 2022'!$AA$12="Alta",'MAPA V5 2022'!$AC$12="Moderado"),CONCATENATE("R2C",'MAPA V5 2022'!$Q$12),"")</f>
        <v/>
      </c>
      <c r="W17" s="46" t="str">
        <f>IF(AND('MAPA V5 2022'!$AA$13="Alta",'MAPA V5 2022'!$AC$13="Moderado"),CONCATENATE("R2C",'MAPA V5 2022'!$Q$13),"")</f>
        <v/>
      </c>
      <c r="X17" s="46" t="str">
        <f>IF(AND('MAPA V5 2022'!$AA$14="Alta",'MAPA V5 2022'!$AC$14="Moderado"),CONCATENATE("R2C",'MAPA V5 2022'!$Q$14),"")</f>
        <v/>
      </c>
      <c r="Y17" s="46" t="str">
        <f>IF(AND('MAPA V5 2022'!$AA$15="Alta",'MAPA V5 2022'!$AC$15="Moderado"),CONCATENATE("R2C",'MAPA V5 2022'!$Q$15),"")</f>
        <v/>
      </c>
      <c r="Z17" s="46" t="str">
        <f>IF(AND('MAPA V5 2022'!$AA$17="Alta",'MAPA V5 2022'!$AC$17="Moderado"),CONCATENATE("R2C",'MAPA V5 2022'!$Q$17),"")</f>
        <v/>
      </c>
      <c r="AA17" s="47" t="e">
        <f>IF(AND('MAPA V5 2022'!#REF!="Alta",'MAPA V5 2022'!#REF!="Moderado"),CONCATENATE("R2C",'MAPA V5 2022'!#REF!),"")</f>
        <v>#REF!</v>
      </c>
      <c r="AB17" s="45" t="str">
        <f>IF(AND('MAPA V5 2022'!$AA$12="Alta",'MAPA V5 2022'!$AC$12="Mayor"),CONCATENATE("R2C",'MAPA V5 2022'!$Q$12),"")</f>
        <v/>
      </c>
      <c r="AC17" s="46" t="str">
        <f>IF(AND('MAPA V5 2022'!$AA$13="Alta",'MAPA V5 2022'!$AC$13="Mayor"),CONCATENATE("R2C",'MAPA V5 2022'!$Q$13),"")</f>
        <v/>
      </c>
      <c r="AD17" s="46" t="str">
        <f>IF(AND('MAPA V5 2022'!$AA$14="Alta",'MAPA V5 2022'!$AC$14="Mayor"),CONCATENATE("R2C",'MAPA V5 2022'!$Q$14),"")</f>
        <v/>
      </c>
      <c r="AE17" s="46" t="str">
        <f>IF(AND('MAPA V5 2022'!$AA$15="Alta",'MAPA V5 2022'!$AC$15="Mayor"),CONCATENATE("R2C",'MAPA V5 2022'!$Q$15),"")</f>
        <v/>
      </c>
      <c r="AF17" s="46" t="str">
        <f>IF(AND('MAPA V5 2022'!$AA$17="Alta",'MAPA V5 2022'!$AC$17="Mayor"),CONCATENATE("R2C",'MAPA V5 2022'!$Q$17),"")</f>
        <v/>
      </c>
      <c r="AG17" s="47" t="e">
        <f>IF(AND('MAPA V5 2022'!#REF!="Alta",'MAPA V5 2022'!#REF!="Mayor"),CONCATENATE("R2C",'MAPA V5 2022'!#REF!),"")</f>
        <v>#REF!</v>
      </c>
      <c r="AH17" s="48" t="str">
        <f>IF(AND('MAPA V5 2022'!$AA$12="Alta",'MAPA V5 2022'!$AC$12="Catastrófico"),CONCATENATE("R2C",'MAPA V5 2022'!$Q$12),"")</f>
        <v/>
      </c>
      <c r="AI17" s="49" t="str">
        <f>IF(AND('MAPA V5 2022'!$AA$13="Alta",'MAPA V5 2022'!$AC$13="Catastrófico"),CONCATENATE("R2C",'MAPA V5 2022'!$Q$13),"")</f>
        <v/>
      </c>
      <c r="AJ17" s="49" t="str">
        <f>IF(AND('MAPA V5 2022'!$AA$14="Alta",'MAPA V5 2022'!$AC$14="Catastrófico"),CONCATENATE("R2C",'MAPA V5 2022'!$Q$14),"")</f>
        <v>R2C1</v>
      </c>
      <c r="AK17" s="49" t="str">
        <f>IF(AND('MAPA V5 2022'!$AA$15="Alta",'MAPA V5 2022'!$AC$15="Catastrófico"),CONCATENATE("R2C",'MAPA V5 2022'!$Q$15),"")</f>
        <v/>
      </c>
      <c r="AL17" s="49" t="str">
        <f>IF(AND('MAPA V5 2022'!$AA$17="Alta",'MAPA V5 2022'!$AC$17="Catastrófico"),CONCATENATE("R2C",'MAPA V5 2022'!$Q$17),"")</f>
        <v/>
      </c>
      <c r="AM17" s="50" t="e">
        <f>IF(AND('MAPA V5 2022'!#REF!="Alta",'MAPA V5 2022'!#REF!="Catastrófico"),CONCATENATE("R2C",'MAPA V5 2022'!#REF!),"")</f>
        <v>#REF!</v>
      </c>
      <c r="AN17" s="77"/>
      <c r="AO17" s="401"/>
      <c r="AP17" s="402"/>
      <c r="AQ17" s="402"/>
      <c r="AR17" s="402"/>
      <c r="AS17" s="402"/>
      <c r="AT17" s="403"/>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row>
    <row r="18" spans="1:76" ht="15" customHeight="1" x14ac:dyDescent="0.25">
      <c r="A18" s="77"/>
      <c r="B18" s="310"/>
      <c r="C18" s="310"/>
      <c r="D18" s="311"/>
      <c r="E18" s="411"/>
      <c r="F18" s="412"/>
      <c r="G18" s="412"/>
      <c r="H18" s="412"/>
      <c r="I18" s="410"/>
      <c r="J18" s="61" t="str">
        <f>IF(AND('MAPA V5 2022'!$AA$18="Alta",'MAPA V5 2022'!$AC$18="Leve"),CONCATENATE("R3C",'MAPA V5 2022'!$Q$18),"")</f>
        <v/>
      </c>
      <c r="K18" s="62" t="str">
        <f>IF(AND('MAPA V5 2022'!$AA$19="Alta",'MAPA V5 2022'!$AC$19="Leve"),CONCATENATE("R3C",'MAPA V5 2022'!$Q$19),"")</f>
        <v/>
      </c>
      <c r="L18" s="62" t="str">
        <f>IF(AND('MAPA V5 2022'!$AA$21="Alta",'MAPA V5 2022'!$AC$21="Leve"),CONCATENATE("R3C",'MAPA V5 2022'!$Q$21),"")</f>
        <v/>
      </c>
      <c r="M18" s="62" t="e">
        <f>IF(AND('MAPA V5 2022'!#REF!="Alta",'MAPA V5 2022'!#REF!="Leve"),CONCATENATE("R3C",'MAPA V5 2022'!#REF!),"")</f>
        <v>#REF!</v>
      </c>
      <c r="N18" s="62" t="str">
        <f>IF(AND('MAPA V5 2022'!$AA$23="Alta",'MAPA V5 2022'!$AC$23="Leve"),CONCATENATE("R3C",'MAPA V5 2022'!$Q$23),"")</f>
        <v/>
      </c>
      <c r="O18" s="63" t="str">
        <f>IF(AND('MAPA V5 2022'!$AA$24="Alta",'MAPA V5 2022'!$AC$24="Leve"),CONCATENATE("R3C",'MAPA V5 2022'!$Q$24),"")</f>
        <v/>
      </c>
      <c r="P18" s="61" t="str">
        <f>IF(AND('MAPA V5 2022'!$AA$18="Alta",'MAPA V5 2022'!$AC$18="Menor"),CONCATENATE("R3C",'MAPA V5 2022'!$Q$18),"")</f>
        <v/>
      </c>
      <c r="Q18" s="62" t="str">
        <f>IF(AND('MAPA V5 2022'!$AA$19="Alta",'MAPA V5 2022'!$AC$19="Menor"),CONCATENATE("R3C",'MAPA V5 2022'!$Q$19),"")</f>
        <v/>
      </c>
      <c r="R18" s="62" t="str">
        <f>IF(AND('MAPA V5 2022'!$AA$21="Alta",'MAPA V5 2022'!$AC$21="Menor"),CONCATENATE("R3C",'MAPA V5 2022'!$Q$21),"")</f>
        <v/>
      </c>
      <c r="S18" s="62" t="e">
        <f>IF(AND('MAPA V5 2022'!#REF!="Alta",'MAPA V5 2022'!#REF!="Menor"),CONCATENATE("R3C",'MAPA V5 2022'!#REF!),"")</f>
        <v>#REF!</v>
      </c>
      <c r="T18" s="62" t="str">
        <f>IF(AND('MAPA V5 2022'!$AA$23="Alta",'MAPA V5 2022'!$AC$23="Menor"),CONCATENATE("R3C",'MAPA V5 2022'!$Q$23),"")</f>
        <v/>
      </c>
      <c r="U18" s="63" t="str">
        <f>IF(AND('MAPA V5 2022'!$AA$24="Alta",'MAPA V5 2022'!$AC$24="Menor"),CONCATENATE("R3C",'MAPA V5 2022'!$Q$24),"")</f>
        <v/>
      </c>
      <c r="V18" s="45" t="str">
        <f>IF(AND('MAPA V5 2022'!$AA$18="Alta",'MAPA V5 2022'!$AC$18="Moderado"),CONCATENATE("R3C",'MAPA V5 2022'!$Q$18),"")</f>
        <v/>
      </c>
      <c r="W18" s="46" t="str">
        <f>IF(AND('MAPA V5 2022'!$AA$19="Alta",'MAPA V5 2022'!$AC$19="Moderado"),CONCATENATE("R3C",'MAPA V5 2022'!$Q$19),"")</f>
        <v/>
      </c>
      <c r="X18" s="46" t="str">
        <f>IF(AND('MAPA V5 2022'!$AA$21="Alta",'MAPA V5 2022'!$AC$21="Moderado"),CONCATENATE("R3C",'MAPA V5 2022'!$Q$21),"")</f>
        <v/>
      </c>
      <c r="Y18" s="46" t="e">
        <f>IF(AND('MAPA V5 2022'!#REF!="Alta",'MAPA V5 2022'!#REF!="Moderado"),CONCATENATE("R3C",'MAPA V5 2022'!#REF!),"")</f>
        <v>#REF!</v>
      </c>
      <c r="Z18" s="46" t="str">
        <f>IF(AND('MAPA V5 2022'!$AA$23="Alta",'MAPA V5 2022'!$AC$23="Moderado"),CONCATENATE("R3C",'MAPA V5 2022'!$Q$23),"")</f>
        <v/>
      </c>
      <c r="AA18" s="47" t="str">
        <f>IF(AND('MAPA V5 2022'!$AA$24="Alta",'MAPA V5 2022'!$AC$24="Moderado"),CONCATENATE("R3C",'MAPA V5 2022'!$Q$24),"")</f>
        <v/>
      </c>
      <c r="AB18" s="45" t="str">
        <f>IF(AND('MAPA V5 2022'!$AA$18="Alta",'MAPA V5 2022'!$AC$18="Mayor"),CONCATENATE("R3C",'MAPA V5 2022'!$Q$18),"")</f>
        <v/>
      </c>
      <c r="AC18" s="46" t="str">
        <f>IF(AND('MAPA V5 2022'!$AA$19="Alta",'MAPA V5 2022'!$AC$19="Mayor"),CONCATENATE("R3C",'MAPA V5 2022'!$Q$19),"")</f>
        <v/>
      </c>
      <c r="AD18" s="46" t="str">
        <f>IF(AND('MAPA V5 2022'!$AA$21="Alta",'MAPA V5 2022'!$AC$21="Mayor"),CONCATENATE("R3C",'MAPA V5 2022'!$Q$21),"")</f>
        <v/>
      </c>
      <c r="AE18" s="46" t="e">
        <f>IF(AND('MAPA V5 2022'!#REF!="Alta",'MAPA V5 2022'!#REF!="Mayor"),CONCATENATE("R3C",'MAPA V5 2022'!#REF!),"")</f>
        <v>#REF!</v>
      </c>
      <c r="AF18" s="46" t="str">
        <f>IF(AND('MAPA V5 2022'!$AA$23="Alta",'MAPA V5 2022'!$AC$23="Mayor"),CONCATENATE("R3C",'MAPA V5 2022'!$Q$23),"")</f>
        <v/>
      </c>
      <c r="AG18" s="47" t="str">
        <f>IF(AND('MAPA V5 2022'!$AA$24="Alta",'MAPA V5 2022'!$AC$24="Mayor"),CONCATENATE("R3C",'MAPA V5 2022'!$Q$24),"")</f>
        <v/>
      </c>
      <c r="AH18" s="48" t="str">
        <f>IF(AND('MAPA V5 2022'!$AA$18="Alta",'MAPA V5 2022'!$AC$18="Catastrófico"),CONCATENATE("R3C",'MAPA V5 2022'!$Q$18),"")</f>
        <v/>
      </c>
      <c r="AI18" s="49" t="str">
        <f>IF(AND('MAPA V5 2022'!$AA$19="Alta",'MAPA V5 2022'!$AC$19="Catastrófico"),CONCATENATE("R3C",'MAPA V5 2022'!$Q$19),"")</f>
        <v/>
      </c>
      <c r="AJ18" s="49" t="str">
        <f>IF(AND('MAPA V5 2022'!$AA$21="Alta",'MAPA V5 2022'!$AC$21="Catastrófico"),CONCATENATE("R3C",'MAPA V5 2022'!$Q$21),"")</f>
        <v/>
      </c>
      <c r="AK18" s="49" t="e">
        <f>IF(AND('MAPA V5 2022'!#REF!="Alta",'MAPA V5 2022'!#REF!="Catastrófico"),CONCATENATE("R3C",'MAPA V5 2022'!#REF!),"")</f>
        <v>#REF!</v>
      </c>
      <c r="AL18" s="49" t="str">
        <f>IF(AND('MAPA V5 2022'!$AA$23="Alta",'MAPA V5 2022'!$AC$23="Catastrófico"),CONCATENATE("R3C",'MAPA V5 2022'!$Q$23),"")</f>
        <v/>
      </c>
      <c r="AM18" s="50" t="str">
        <f>IF(AND('MAPA V5 2022'!$AA$24="Alta",'MAPA V5 2022'!$AC$24="Catastrófico"),CONCATENATE("R3C",'MAPA V5 2022'!$Q$24),"")</f>
        <v/>
      </c>
      <c r="AN18" s="77"/>
      <c r="AO18" s="401"/>
      <c r="AP18" s="402"/>
      <c r="AQ18" s="402"/>
      <c r="AR18" s="402"/>
      <c r="AS18" s="402"/>
      <c r="AT18" s="403"/>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row>
    <row r="19" spans="1:76" ht="15" customHeight="1" x14ac:dyDescent="0.25">
      <c r="A19" s="77"/>
      <c r="B19" s="310"/>
      <c r="C19" s="310"/>
      <c r="D19" s="311"/>
      <c r="E19" s="411"/>
      <c r="F19" s="412"/>
      <c r="G19" s="412"/>
      <c r="H19" s="412"/>
      <c r="I19" s="410"/>
      <c r="J19" s="61" t="str">
        <f>IF(AND('MAPA V5 2022'!$AA$25="Alta",'MAPA V5 2022'!$AC$25="Leve"),CONCATENATE("R4C",'MAPA V5 2022'!$Q$25),"")</f>
        <v/>
      </c>
      <c r="K19" s="62" t="e">
        <f>IF(AND('MAPA V5 2022'!#REF!="Alta",'MAPA V5 2022'!#REF!="Leve"),CONCATENATE("R4C",'MAPA V5 2022'!#REF!),"")</f>
        <v>#REF!</v>
      </c>
      <c r="L19" s="62" t="str">
        <f>IF(AND('MAPA V5 2022'!$AA$26="Alta",'MAPA V5 2022'!$AC$26="Leve"),CONCATENATE("R4C",'MAPA V5 2022'!$Q$26),"")</f>
        <v/>
      </c>
      <c r="M19" s="62" t="str">
        <f>IF(AND('MAPA V5 2022'!$AA$27="Alta",'MAPA V5 2022'!$AC$27="Leve"),CONCATENATE("R4C",'MAPA V5 2022'!$Q$27),"")</f>
        <v/>
      </c>
      <c r="N19" s="62" t="e">
        <f>IF(AND('MAPA V5 2022'!#REF!="Alta",'MAPA V5 2022'!#REF!="Leve"),CONCATENATE("R4C",'MAPA V5 2022'!#REF!),"")</f>
        <v>#REF!</v>
      </c>
      <c r="O19" s="63" t="str">
        <f>IF(AND('MAPA V5 2022'!$AA$28="Alta",'MAPA V5 2022'!$AC$28="Leve"),CONCATENATE("R4C",'MAPA V5 2022'!$Q$28),"")</f>
        <v/>
      </c>
      <c r="P19" s="61" t="str">
        <f>IF(AND('MAPA V5 2022'!$AA$25="Alta",'MAPA V5 2022'!$AC$25="Menor"),CONCATENATE("R4C",'MAPA V5 2022'!$Q$25),"")</f>
        <v/>
      </c>
      <c r="Q19" s="62" t="e">
        <f>IF(AND('MAPA V5 2022'!#REF!="Alta",'MAPA V5 2022'!#REF!="Menor"),CONCATENATE("R4C",'MAPA V5 2022'!#REF!),"")</f>
        <v>#REF!</v>
      </c>
      <c r="R19" s="62" t="str">
        <f>IF(AND('MAPA V5 2022'!$AA$26="Alta",'MAPA V5 2022'!$AC$26="Menor"),CONCATENATE("R4C",'MAPA V5 2022'!$Q$26),"")</f>
        <v/>
      </c>
      <c r="S19" s="62" t="str">
        <f>IF(AND('MAPA V5 2022'!$AA$27="Alta",'MAPA V5 2022'!$AC$27="Menor"),CONCATENATE("R4C",'MAPA V5 2022'!$Q$27),"")</f>
        <v/>
      </c>
      <c r="T19" s="62" t="e">
        <f>IF(AND('MAPA V5 2022'!#REF!="Alta",'MAPA V5 2022'!#REF!="Menor"),CONCATENATE("R4C",'MAPA V5 2022'!#REF!),"")</f>
        <v>#REF!</v>
      </c>
      <c r="U19" s="63" t="str">
        <f>IF(AND('MAPA V5 2022'!$AA$28="Alta",'MAPA V5 2022'!$AC$28="Menor"),CONCATENATE("R4C",'MAPA V5 2022'!$Q$28),"")</f>
        <v/>
      </c>
      <c r="V19" s="45" t="str">
        <f>IF(AND('MAPA V5 2022'!$AA$25="Alta",'MAPA V5 2022'!$AC$25="Moderado"),CONCATENATE("R4C",'MAPA V5 2022'!$Q$25),"")</f>
        <v/>
      </c>
      <c r="W19" s="46" t="e">
        <f>IF(AND('MAPA V5 2022'!#REF!="Alta",'MAPA V5 2022'!#REF!="Moderado"),CONCATENATE("R4C",'MAPA V5 2022'!#REF!),"")</f>
        <v>#REF!</v>
      </c>
      <c r="X19" s="51" t="str">
        <f>IF(AND('MAPA V5 2022'!$AA$26="Alta",'MAPA V5 2022'!$AC$26="Moderado"),CONCATENATE("R4C",'MAPA V5 2022'!$Q$26),"")</f>
        <v/>
      </c>
      <c r="Y19" s="51" t="str">
        <f>IF(AND('MAPA V5 2022'!$AA$27="Alta",'MAPA V5 2022'!$AC$27="Moderado"),CONCATENATE("R4C",'MAPA V5 2022'!$Q$27),"")</f>
        <v/>
      </c>
      <c r="Z19" s="51" t="e">
        <f>IF(AND('MAPA V5 2022'!#REF!="Alta",'MAPA V5 2022'!#REF!="Moderado"),CONCATENATE("R4C",'MAPA V5 2022'!#REF!),"")</f>
        <v>#REF!</v>
      </c>
      <c r="AA19" s="47" t="str">
        <f>IF(AND('MAPA V5 2022'!$AA$28="Alta",'MAPA V5 2022'!$AC$28="Moderado"),CONCATENATE("R4C",'MAPA V5 2022'!$Q$28),"")</f>
        <v/>
      </c>
      <c r="AB19" s="45" t="str">
        <f>IF(AND('MAPA V5 2022'!$AA$25="Alta",'MAPA V5 2022'!$AC$25="Mayor"),CONCATENATE("R4C",'MAPA V5 2022'!$Q$25),"")</f>
        <v/>
      </c>
      <c r="AC19" s="46" t="e">
        <f>IF(AND('MAPA V5 2022'!#REF!="Alta",'MAPA V5 2022'!#REF!="Mayor"),CONCATENATE("R4C",'MAPA V5 2022'!#REF!),"")</f>
        <v>#REF!</v>
      </c>
      <c r="AD19" s="51" t="str">
        <f>IF(AND('MAPA V5 2022'!$AA$26="Alta",'MAPA V5 2022'!$AC$26="Mayor"),CONCATENATE("R4C",'MAPA V5 2022'!$Q$26),"")</f>
        <v/>
      </c>
      <c r="AE19" s="51" t="str">
        <f>IF(AND('MAPA V5 2022'!$AA$27="Alta",'MAPA V5 2022'!$AC$27="Mayor"),CONCATENATE("R4C",'MAPA V5 2022'!$Q$27),"")</f>
        <v/>
      </c>
      <c r="AF19" s="51" t="e">
        <f>IF(AND('MAPA V5 2022'!#REF!="Alta",'MAPA V5 2022'!#REF!="Mayor"),CONCATENATE("R4C",'MAPA V5 2022'!#REF!),"")</f>
        <v>#REF!</v>
      </c>
      <c r="AG19" s="47" t="str">
        <f>IF(AND('MAPA V5 2022'!$AA$28="Alta",'MAPA V5 2022'!$AC$28="Mayor"),CONCATENATE("R4C",'MAPA V5 2022'!$Q$28),"")</f>
        <v/>
      </c>
      <c r="AH19" s="48" t="str">
        <f>IF(AND('MAPA V5 2022'!$AA$25="Alta",'MAPA V5 2022'!$AC$25="Catastrófico"),CONCATENATE("R4C",'MAPA V5 2022'!$Q$25),"")</f>
        <v/>
      </c>
      <c r="AI19" s="49" t="e">
        <f>IF(AND('MAPA V5 2022'!#REF!="Alta",'MAPA V5 2022'!#REF!="Catastrófico"),CONCATENATE("R4C",'MAPA V5 2022'!#REF!),"")</f>
        <v>#REF!</v>
      </c>
      <c r="AJ19" s="49" t="str">
        <f>IF(AND('MAPA V5 2022'!$AA$26="Alta",'MAPA V5 2022'!$AC$26="Catastrófico"),CONCATENATE("R4C",'MAPA V5 2022'!$Q$26),"")</f>
        <v/>
      </c>
      <c r="AK19" s="49" t="str">
        <f>IF(AND('MAPA V5 2022'!$AA$27="Alta",'MAPA V5 2022'!$AC$27="Catastrófico"),CONCATENATE("R4C",'MAPA V5 2022'!$Q$27),"")</f>
        <v/>
      </c>
      <c r="AL19" s="49" t="e">
        <f>IF(AND('MAPA V5 2022'!#REF!="Alta",'MAPA V5 2022'!#REF!="Catastrófico"),CONCATENATE("R4C",'MAPA V5 2022'!#REF!),"")</f>
        <v>#REF!</v>
      </c>
      <c r="AM19" s="50" t="str">
        <f>IF(AND('MAPA V5 2022'!$AA$28="Alta",'MAPA V5 2022'!$AC$28="Catastrófico"),CONCATENATE("R4C",'MAPA V5 2022'!$Q$28),"")</f>
        <v/>
      </c>
      <c r="AN19" s="77"/>
      <c r="AO19" s="401"/>
      <c r="AP19" s="402"/>
      <c r="AQ19" s="402"/>
      <c r="AR19" s="402"/>
      <c r="AS19" s="402"/>
      <c r="AT19" s="403"/>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row>
    <row r="20" spans="1:76" ht="15" customHeight="1" x14ac:dyDescent="0.25">
      <c r="A20" s="77"/>
      <c r="B20" s="310"/>
      <c r="C20" s="310"/>
      <c r="D20" s="311"/>
      <c r="E20" s="411"/>
      <c r="F20" s="412"/>
      <c r="G20" s="412"/>
      <c r="H20" s="412"/>
      <c r="I20" s="410"/>
      <c r="J20" s="61" t="str">
        <f>IF(AND('MAPA V5 2022'!$AA$29="Alta",'MAPA V5 2022'!$AC$29="Leve"),CONCATENATE("R5C",'MAPA V5 2022'!$Q$29),"")</f>
        <v/>
      </c>
      <c r="K20" s="62" t="str">
        <f>IF(AND('MAPA V5 2022'!$AA$30="Alta",'MAPA V5 2022'!$AC$30="Leve"),CONCATENATE("R5C",'MAPA V5 2022'!$Q$30),"")</f>
        <v/>
      </c>
      <c r="L20" s="62" t="str">
        <f>IF(AND('MAPA V5 2022'!$AA$31="Alta",'MAPA V5 2022'!$AC$31="Leve"),CONCATENATE("R5C",'MAPA V5 2022'!$Q$31),"")</f>
        <v/>
      </c>
      <c r="M20" s="62" t="str">
        <f>IF(AND('MAPA V5 2022'!$AA$33="Alta",'MAPA V5 2022'!$AC$33="Leve"),CONCATENATE("R5C",'MAPA V5 2022'!$Q$33),"")</f>
        <v/>
      </c>
      <c r="N20" s="62" t="str">
        <f>IF(AND('MAPA V5 2022'!$AA$34="Alta",'MAPA V5 2022'!$AC$34="Leve"),CONCATENATE("R5C",'MAPA V5 2022'!$Q$34),"")</f>
        <v/>
      </c>
      <c r="O20" s="63" t="e">
        <f>IF(AND('MAPA V5 2022'!#REF!="Alta",'MAPA V5 2022'!#REF!="Leve"),CONCATENATE("R5C",'MAPA V5 2022'!#REF!),"")</f>
        <v>#REF!</v>
      </c>
      <c r="P20" s="61" t="str">
        <f>IF(AND('MAPA V5 2022'!$AA$29="Alta",'MAPA V5 2022'!$AC$29="Menor"),CONCATENATE("R5C",'MAPA V5 2022'!$Q$29),"")</f>
        <v/>
      </c>
      <c r="Q20" s="62" t="str">
        <f>IF(AND('MAPA V5 2022'!$AA$30="Alta",'MAPA V5 2022'!$AC$30="Menor"),CONCATENATE("R5C",'MAPA V5 2022'!$Q$30),"")</f>
        <v/>
      </c>
      <c r="R20" s="62" t="str">
        <f>IF(AND('MAPA V5 2022'!$AA$31="Alta",'MAPA V5 2022'!$AC$31="Menor"),CONCATENATE("R5C",'MAPA V5 2022'!$Q$31),"")</f>
        <v/>
      </c>
      <c r="S20" s="62" t="str">
        <f>IF(AND('MAPA V5 2022'!$AA$33="Alta",'MAPA V5 2022'!$AC$33="Menor"),CONCATENATE("R5C",'MAPA V5 2022'!$Q$33),"")</f>
        <v/>
      </c>
      <c r="T20" s="62" t="str">
        <f>IF(AND('MAPA V5 2022'!$AA$34="Alta",'MAPA V5 2022'!$AC$34="Menor"),CONCATENATE("R5C",'MAPA V5 2022'!$Q$34),"")</f>
        <v/>
      </c>
      <c r="U20" s="63" t="e">
        <f>IF(AND('MAPA V5 2022'!#REF!="Alta",'MAPA V5 2022'!#REF!="Menor"),CONCATENATE("R5C",'MAPA V5 2022'!#REF!),"")</f>
        <v>#REF!</v>
      </c>
      <c r="V20" s="45" t="str">
        <f>IF(AND('MAPA V5 2022'!$AA$29="Alta",'MAPA V5 2022'!$AC$29="Moderado"),CONCATENATE("R5C",'MAPA V5 2022'!$Q$29),"")</f>
        <v/>
      </c>
      <c r="W20" s="46" t="str">
        <f>IF(AND('MAPA V5 2022'!$AA$30="Alta",'MAPA V5 2022'!$AC$30="Moderado"),CONCATENATE("R5C",'MAPA V5 2022'!$Q$30),"")</f>
        <v/>
      </c>
      <c r="X20" s="51" t="str">
        <f>IF(AND('MAPA V5 2022'!$AA$31="Alta",'MAPA V5 2022'!$AC$31="Moderado"),CONCATENATE("R5C",'MAPA V5 2022'!$Q$31),"")</f>
        <v/>
      </c>
      <c r="Y20" s="51" t="str">
        <f>IF(AND('MAPA V5 2022'!$AA$33="Alta",'MAPA V5 2022'!$AC$33="Moderado"),CONCATENATE("R5C",'MAPA V5 2022'!$Q$33),"")</f>
        <v/>
      </c>
      <c r="Z20" s="51" t="str">
        <f>IF(AND('MAPA V5 2022'!$AA$34="Alta",'MAPA V5 2022'!$AC$34="Moderado"),CONCATENATE("R5C",'MAPA V5 2022'!$Q$34),"")</f>
        <v/>
      </c>
      <c r="AA20" s="47" t="e">
        <f>IF(AND('MAPA V5 2022'!#REF!="Alta",'MAPA V5 2022'!#REF!="Moderado"),CONCATENATE("R5C",'MAPA V5 2022'!#REF!),"")</f>
        <v>#REF!</v>
      </c>
      <c r="AB20" s="45" t="str">
        <f>IF(AND('MAPA V5 2022'!$AA$29="Alta",'MAPA V5 2022'!$AC$29="Mayor"),CONCATENATE("R5C",'MAPA V5 2022'!$Q$29),"")</f>
        <v/>
      </c>
      <c r="AC20" s="46" t="str">
        <f>IF(AND('MAPA V5 2022'!$AA$30="Alta",'MAPA V5 2022'!$AC$30="Mayor"),CONCATENATE("R5C",'MAPA V5 2022'!$Q$30),"")</f>
        <v/>
      </c>
      <c r="AD20" s="51" t="str">
        <f>IF(AND('MAPA V5 2022'!$AA$31="Alta",'MAPA V5 2022'!$AC$31="Mayor"),CONCATENATE("R5C",'MAPA V5 2022'!$Q$31),"")</f>
        <v/>
      </c>
      <c r="AE20" s="51" t="str">
        <f>IF(AND('MAPA V5 2022'!$AA$33="Alta",'MAPA V5 2022'!$AC$33="Mayor"),CONCATENATE("R5C",'MAPA V5 2022'!$Q$33),"")</f>
        <v/>
      </c>
      <c r="AF20" s="51" t="str">
        <f>IF(AND('MAPA V5 2022'!$AA$34="Alta",'MAPA V5 2022'!$AC$34="Mayor"),CONCATENATE("R5C",'MAPA V5 2022'!$Q$34),"")</f>
        <v/>
      </c>
      <c r="AG20" s="47" t="e">
        <f>IF(AND('MAPA V5 2022'!#REF!="Alta",'MAPA V5 2022'!#REF!="Mayor"),CONCATENATE("R5C",'MAPA V5 2022'!#REF!),"")</f>
        <v>#REF!</v>
      </c>
      <c r="AH20" s="48" t="str">
        <f>IF(AND('MAPA V5 2022'!$AA$29="Alta",'MAPA V5 2022'!$AC$29="Catastrófico"),CONCATENATE("R5C",'MAPA V5 2022'!$Q$29),"")</f>
        <v/>
      </c>
      <c r="AI20" s="49" t="str">
        <f>IF(AND('MAPA V5 2022'!$AA$30="Alta",'MAPA V5 2022'!$AC$30="Catastrófico"),CONCATENATE("R5C",'MAPA V5 2022'!$Q$30),"")</f>
        <v/>
      </c>
      <c r="AJ20" s="49" t="str">
        <f>IF(AND('MAPA V5 2022'!$AA$31="Alta",'MAPA V5 2022'!$AC$31="Catastrófico"),CONCATENATE("R5C",'MAPA V5 2022'!$Q$31),"")</f>
        <v/>
      </c>
      <c r="AK20" s="49" t="str">
        <f>IF(AND('MAPA V5 2022'!$AA$33="Alta",'MAPA V5 2022'!$AC$33="Catastrófico"),CONCATENATE("R5C",'MAPA V5 2022'!$Q$33),"")</f>
        <v/>
      </c>
      <c r="AL20" s="49" t="str">
        <f>IF(AND('MAPA V5 2022'!$AA$34="Alta",'MAPA V5 2022'!$AC$34="Catastrófico"),CONCATENATE("R5C",'MAPA V5 2022'!$Q$34),"")</f>
        <v/>
      </c>
      <c r="AM20" s="50" t="e">
        <f>IF(AND('MAPA V5 2022'!#REF!="Alta",'MAPA V5 2022'!#REF!="Catastrófico"),CONCATENATE("R5C",'MAPA V5 2022'!#REF!),"")</f>
        <v>#REF!</v>
      </c>
      <c r="AN20" s="77"/>
      <c r="AO20" s="401"/>
      <c r="AP20" s="402"/>
      <c r="AQ20" s="402"/>
      <c r="AR20" s="402"/>
      <c r="AS20" s="402"/>
      <c r="AT20" s="403"/>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row>
    <row r="21" spans="1:76" ht="15" customHeight="1" x14ac:dyDescent="0.25">
      <c r="A21" s="77"/>
      <c r="B21" s="310"/>
      <c r="C21" s="310"/>
      <c r="D21" s="311"/>
      <c r="E21" s="411"/>
      <c r="F21" s="412"/>
      <c r="G21" s="412"/>
      <c r="H21" s="412"/>
      <c r="I21" s="410"/>
      <c r="J21" s="61" t="e">
        <f>IF(AND('MAPA V5 2022'!#REF!="Alta",'MAPA V5 2022'!#REF!="Leve"),CONCATENATE("R6C",'MAPA V5 2022'!#REF!),"")</f>
        <v>#REF!</v>
      </c>
      <c r="K21" s="62" t="str">
        <f>IF(AND('MAPA V5 2022'!$AA$35="Alta",'MAPA V5 2022'!$AC$35="Leve"),CONCATENATE("R6C",'MAPA V5 2022'!$Q$35),"")</f>
        <v/>
      </c>
      <c r="L21" s="62" t="e">
        <f>IF(AND('MAPA V5 2022'!#REF!="Alta",'MAPA V5 2022'!#REF!="Leve"),CONCATENATE("R6C",'MAPA V5 2022'!#REF!),"")</f>
        <v>#REF!</v>
      </c>
      <c r="M21" s="62" t="str">
        <f>IF(AND('MAPA V5 2022'!$AA$36="Alta",'MAPA V5 2022'!$AC$36="Leve"),CONCATENATE("R6C",'MAPA V5 2022'!$Q$36),"")</f>
        <v/>
      </c>
      <c r="N21" s="62" t="str">
        <f>IF(AND('MAPA V5 2022'!$AA$37="Alta",'MAPA V5 2022'!$AC$37="Leve"),CONCATENATE("R6C",'MAPA V5 2022'!$Q$37),"")</f>
        <v/>
      </c>
      <c r="O21" s="63" t="str">
        <f>IF(AND('MAPA V5 2022'!$AA$38="Alta",'MAPA V5 2022'!$AC$38="Leve"),CONCATENATE("R6C",'MAPA V5 2022'!$Q$38),"")</f>
        <v/>
      </c>
      <c r="P21" s="61" t="e">
        <f>IF(AND('MAPA V5 2022'!#REF!="Alta",'MAPA V5 2022'!#REF!="Menor"),CONCATENATE("R6C",'MAPA V5 2022'!#REF!),"")</f>
        <v>#REF!</v>
      </c>
      <c r="Q21" s="62" t="str">
        <f>IF(AND('MAPA V5 2022'!$AA$35="Alta",'MAPA V5 2022'!$AC$35="Menor"),CONCATENATE("R6C",'MAPA V5 2022'!$Q$35),"")</f>
        <v/>
      </c>
      <c r="R21" s="62" t="e">
        <f>IF(AND('MAPA V5 2022'!#REF!="Alta",'MAPA V5 2022'!#REF!="Menor"),CONCATENATE("R6C",'MAPA V5 2022'!#REF!),"")</f>
        <v>#REF!</v>
      </c>
      <c r="S21" s="62" t="str">
        <f>IF(AND('MAPA V5 2022'!$AA$36="Alta",'MAPA V5 2022'!$AC$36="Menor"),CONCATENATE("R6C",'MAPA V5 2022'!$Q$36),"")</f>
        <v/>
      </c>
      <c r="T21" s="62" t="str">
        <f>IF(AND('MAPA V5 2022'!$AA$37="Alta",'MAPA V5 2022'!$AC$37="Menor"),CONCATENATE("R6C",'MAPA V5 2022'!$Q$37),"")</f>
        <v/>
      </c>
      <c r="U21" s="63" t="str">
        <f>IF(AND('MAPA V5 2022'!$AA$38="Alta",'MAPA V5 2022'!$AC$38="Menor"),CONCATENATE("R6C",'MAPA V5 2022'!$Q$38),"")</f>
        <v/>
      </c>
      <c r="V21" s="45" t="e">
        <f>IF(AND('MAPA V5 2022'!#REF!="Alta",'MAPA V5 2022'!#REF!="Moderado"),CONCATENATE("R6C",'MAPA V5 2022'!#REF!),"")</f>
        <v>#REF!</v>
      </c>
      <c r="W21" s="46" t="str">
        <f>IF(AND('MAPA V5 2022'!$AA$35="Alta",'MAPA V5 2022'!$AC$35="Moderado"),CONCATENATE("R6C",'MAPA V5 2022'!$Q$35),"")</f>
        <v/>
      </c>
      <c r="X21" s="51" t="e">
        <f>IF(AND('MAPA V5 2022'!#REF!="Alta",'MAPA V5 2022'!#REF!="Moderado"),CONCATENATE("R6C",'MAPA V5 2022'!#REF!),"")</f>
        <v>#REF!</v>
      </c>
      <c r="Y21" s="51" t="str">
        <f>IF(AND('MAPA V5 2022'!$AA$36="Alta",'MAPA V5 2022'!$AC$36="Moderado"),CONCATENATE("R6C",'MAPA V5 2022'!$Q$36),"")</f>
        <v/>
      </c>
      <c r="Z21" s="51" t="str">
        <f>IF(AND('MAPA V5 2022'!$AA$37="Alta",'MAPA V5 2022'!$AC$37="Moderado"),CONCATENATE("R6C",'MAPA V5 2022'!$Q$37),"")</f>
        <v/>
      </c>
      <c r="AA21" s="47" t="str">
        <f>IF(AND('MAPA V5 2022'!$AA$38="Alta",'MAPA V5 2022'!$AC$38="Moderado"),CONCATENATE("R6C",'MAPA V5 2022'!$Q$38),"")</f>
        <v/>
      </c>
      <c r="AB21" s="45" t="e">
        <f>IF(AND('MAPA V5 2022'!#REF!="Alta",'MAPA V5 2022'!#REF!="Mayor"),CONCATENATE("R6C",'MAPA V5 2022'!#REF!),"")</f>
        <v>#REF!</v>
      </c>
      <c r="AC21" s="46" t="str">
        <f>IF(AND('MAPA V5 2022'!$AA$35="Alta",'MAPA V5 2022'!$AC$35="Mayor"),CONCATENATE("R6C",'MAPA V5 2022'!$Q$35),"")</f>
        <v/>
      </c>
      <c r="AD21" s="51" t="e">
        <f>IF(AND('MAPA V5 2022'!#REF!="Alta",'MAPA V5 2022'!#REF!="Mayor"),CONCATENATE("R6C",'MAPA V5 2022'!#REF!),"")</f>
        <v>#REF!</v>
      </c>
      <c r="AE21" s="51" t="str">
        <f>IF(AND('MAPA V5 2022'!$AA$36="Alta",'MAPA V5 2022'!$AC$36="Mayor"),CONCATENATE("R6C",'MAPA V5 2022'!$Q$36),"")</f>
        <v/>
      </c>
      <c r="AF21" s="51" t="str">
        <f>IF(AND('MAPA V5 2022'!$AA$37="Alta",'MAPA V5 2022'!$AC$37="Mayor"),CONCATENATE("R6C",'MAPA V5 2022'!$Q$37),"")</f>
        <v/>
      </c>
      <c r="AG21" s="47" t="str">
        <f>IF(AND('MAPA V5 2022'!$AA$38="Alta",'MAPA V5 2022'!$AC$38="Mayor"),CONCATENATE("R6C",'MAPA V5 2022'!$Q$38),"")</f>
        <v/>
      </c>
      <c r="AH21" s="48" t="e">
        <f>IF(AND('MAPA V5 2022'!#REF!="Alta",'MAPA V5 2022'!#REF!="Catastrófico"),CONCATENATE("R6C",'MAPA V5 2022'!#REF!),"")</f>
        <v>#REF!</v>
      </c>
      <c r="AI21" s="49" t="str">
        <f>IF(AND('MAPA V5 2022'!$AA$35="Alta",'MAPA V5 2022'!$AC$35="Catastrófico"),CONCATENATE("R6C",'MAPA V5 2022'!$Q$35),"")</f>
        <v/>
      </c>
      <c r="AJ21" s="49" t="e">
        <f>IF(AND('MAPA V5 2022'!#REF!="Alta",'MAPA V5 2022'!#REF!="Catastrófico"),CONCATENATE("R6C",'MAPA V5 2022'!#REF!),"")</f>
        <v>#REF!</v>
      </c>
      <c r="AK21" s="49" t="str">
        <f>IF(AND('MAPA V5 2022'!$AA$36="Alta",'MAPA V5 2022'!$AC$36="Catastrófico"),CONCATENATE("R6C",'MAPA V5 2022'!$Q$36),"")</f>
        <v/>
      </c>
      <c r="AL21" s="49" t="str">
        <f>IF(AND('MAPA V5 2022'!$AA$37="Alta",'MAPA V5 2022'!$AC$37="Catastrófico"),CONCATENATE("R6C",'MAPA V5 2022'!$Q$37),"")</f>
        <v/>
      </c>
      <c r="AM21" s="50" t="str">
        <f>IF(AND('MAPA V5 2022'!$AA$38="Alta",'MAPA V5 2022'!$AC$38="Catastrófico"),CONCATENATE("R6C",'MAPA V5 2022'!$Q$38),"")</f>
        <v/>
      </c>
      <c r="AN21" s="77"/>
      <c r="AO21" s="401"/>
      <c r="AP21" s="402"/>
      <c r="AQ21" s="402"/>
      <c r="AR21" s="402"/>
      <c r="AS21" s="402"/>
      <c r="AT21" s="403"/>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row>
    <row r="22" spans="1:76" ht="15" customHeight="1" x14ac:dyDescent="0.25">
      <c r="A22" s="77"/>
      <c r="B22" s="310"/>
      <c r="C22" s="310"/>
      <c r="D22" s="311"/>
      <c r="E22" s="411"/>
      <c r="F22" s="412"/>
      <c r="G22" s="412"/>
      <c r="H22" s="412"/>
      <c r="I22" s="410"/>
      <c r="J22" s="61" t="e">
        <f>IF(AND('MAPA V5 2022'!#REF!="Alta",'MAPA V5 2022'!#REF!="Leve"),CONCATENATE("R7C",'MAPA V5 2022'!#REF!),"")</f>
        <v>#REF!</v>
      </c>
      <c r="K22" s="62" t="str">
        <f>IF(AND('MAPA V5 2022'!$AA$39="Alta",'MAPA V5 2022'!$AC$39="Leve"),CONCATENATE("R7C",'MAPA V5 2022'!$Q$39),"")</f>
        <v/>
      </c>
      <c r="L22" s="62" t="str">
        <f>IF(AND('MAPA V5 2022'!$AA$40="Alta",'MAPA V5 2022'!$AC$40="Leve"),CONCATENATE("R7C",'MAPA V5 2022'!$Q$40),"")</f>
        <v/>
      </c>
      <c r="M22" s="62" t="e">
        <f>IF(AND('MAPA V5 2022'!#REF!="Alta",'MAPA V5 2022'!#REF!="Leve"),CONCATENATE("R7C",'MAPA V5 2022'!#REF!),"")</f>
        <v>#REF!</v>
      </c>
      <c r="N22" s="62" t="str">
        <f>IF(AND('MAPA V5 2022'!$AA$41="Alta",'MAPA V5 2022'!$AC$41="Leve"),CONCATENATE("R7C",'MAPA V5 2022'!$Q$41),"")</f>
        <v/>
      </c>
      <c r="O22" s="63" t="e">
        <f>IF(AND('MAPA V5 2022'!#REF!="Alta",'MAPA V5 2022'!#REF!="Leve"),CONCATENATE("R7C",'MAPA V5 2022'!#REF!),"")</f>
        <v>#REF!</v>
      </c>
      <c r="P22" s="61" t="e">
        <f>IF(AND('MAPA V5 2022'!#REF!="Alta",'MAPA V5 2022'!#REF!="Menor"),CONCATENATE("R7C",'MAPA V5 2022'!#REF!),"")</f>
        <v>#REF!</v>
      </c>
      <c r="Q22" s="62" t="str">
        <f>IF(AND('MAPA V5 2022'!$AA$39="Alta",'MAPA V5 2022'!$AC$39="Menor"),CONCATENATE("R7C",'MAPA V5 2022'!$Q$39),"")</f>
        <v/>
      </c>
      <c r="R22" s="62" t="str">
        <f>IF(AND('MAPA V5 2022'!$AA$40="Alta",'MAPA V5 2022'!$AC$40="Menor"),CONCATENATE("R7C",'MAPA V5 2022'!$Q$40),"")</f>
        <v/>
      </c>
      <c r="S22" s="62" t="e">
        <f>IF(AND('MAPA V5 2022'!#REF!="Alta",'MAPA V5 2022'!#REF!="Menor"),CONCATENATE("R7C",'MAPA V5 2022'!#REF!),"")</f>
        <v>#REF!</v>
      </c>
      <c r="T22" s="62" t="str">
        <f>IF(AND('MAPA V5 2022'!$AA$41="Alta",'MAPA V5 2022'!$AC$41="Menor"),CONCATENATE("R7C",'MAPA V5 2022'!$Q$41),"")</f>
        <v/>
      </c>
      <c r="U22" s="63" t="e">
        <f>IF(AND('MAPA V5 2022'!#REF!="Alta",'MAPA V5 2022'!#REF!="Menor"),CONCATENATE("R7C",'MAPA V5 2022'!#REF!),"")</f>
        <v>#REF!</v>
      </c>
      <c r="V22" s="45" t="e">
        <f>IF(AND('MAPA V5 2022'!#REF!="Alta",'MAPA V5 2022'!#REF!="Moderado"),CONCATENATE("R7C",'MAPA V5 2022'!#REF!),"")</f>
        <v>#REF!</v>
      </c>
      <c r="W22" s="46" t="str">
        <f>IF(AND('MAPA V5 2022'!$AA$39="Alta",'MAPA V5 2022'!$AC$39="Moderado"),CONCATENATE("R7C",'MAPA V5 2022'!$Q$39),"")</f>
        <v/>
      </c>
      <c r="X22" s="51" t="str">
        <f>IF(AND('MAPA V5 2022'!$AA$40="Alta",'MAPA V5 2022'!$AC$40="Moderado"),CONCATENATE("R7C",'MAPA V5 2022'!$Q$40),"")</f>
        <v/>
      </c>
      <c r="Y22" s="51" t="e">
        <f>IF(AND('MAPA V5 2022'!#REF!="Alta",'MAPA V5 2022'!#REF!="Moderado"),CONCATENATE("R7C",'MAPA V5 2022'!#REF!),"")</f>
        <v>#REF!</v>
      </c>
      <c r="Z22" s="51" t="str">
        <f>IF(AND('MAPA V5 2022'!$AA$41="Alta",'MAPA V5 2022'!$AC$41="Moderado"),CONCATENATE("R7C",'MAPA V5 2022'!$Q$41),"")</f>
        <v/>
      </c>
      <c r="AA22" s="47" t="e">
        <f>IF(AND('MAPA V5 2022'!#REF!="Alta",'MAPA V5 2022'!#REF!="Moderado"),CONCATENATE("R7C",'MAPA V5 2022'!#REF!),"")</f>
        <v>#REF!</v>
      </c>
      <c r="AB22" s="45" t="e">
        <f>IF(AND('MAPA V5 2022'!#REF!="Alta",'MAPA V5 2022'!#REF!="Mayor"),CONCATENATE("R7C",'MAPA V5 2022'!#REF!),"")</f>
        <v>#REF!</v>
      </c>
      <c r="AC22" s="46" t="str">
        <f>IF(AND('MAPA V5 2022'!$AA$39="Alta",'MAPA V5 2022'!$AC$39="Mayor"),CONCATENATE("R7C",'MAPA V5 2022'!$Q$39),"")</f>
        <v/>
      </c>
      <c r="AD22" s="51" t="str">
        <f>IF(AND('MAPA V5 2022'!$AA$40="Alta",'MAPA V5 2022'!$AC$40="Mayor"),CONCATENATE("R7C",'MAPA V5 2022'!$Q$40),"")</f>
        <v/>
      </c>
      <c r="AE22" s="51" t="e">
        <f>IF(AND('MAPA V5 2022'!#REF!="Alta",'MAPA V5 2022'!#REF!="Mayor"),CONCATENATE("R7C",'MAPA V5 2022'!#REF!),"")</f>
        <v>#REF!</v>
      </c>
      <c r="AF22" s="51" t="str">
        <f>IF(AND('MAPA V5 2022'!$AA$41="Alta",'MAPA V5 2022'!$AC$41="Mayor"),CONCATENATE("R7C",'MAPA V5 2022'!$Q$41),"")</f>
        <v/>
      </c>
      <c r="AG22" s="47" t="e">
        <f>IF(AND('MAPA V5 2022'!#REF!="Alta",'MAPA V5 2022'!#REF!="Mayor"),CONCATENATE("R7C",'MAPA V5 2022'!#REF!),"")</f>
        <v>#REF!</v>
      </c>
      <c r="AH22" s="48" t="e">
        <f>IF(AND('MAPA V5 2022'!#REF!="Alta",'MAPA V5 2022'!#REF!="Catastrófico"),CONCATENATE("R7C",'MAPA V5 2022'!#REF!),"")</f>
        <v>#REF!</v>
      </c>
      <c r="AI22" s="49" t="str">
        <f>IF(AND('MAPA V5 2022'!$AA$39="Alta",'MAPA V5 2022'!$AC$39="Catastrófico"),CONCATENATE("R7C",'MAPA V5 2022'!$Q$39),"")</f>
        <v/>
      </c>
      <c r="AJ22" s="49" t="str">
        <f>IF(AND('MAPA V5 2022'!$AA$40="Alta",'MAPA V5 2022'!$AC$40="Catastrófico"),CONCATENATE("R7C",'MAPA V5 2022'!$Q$40),"")</f>
        <v/>
      </c>
      <c r="AK22" s="49" t="e">
        <f>IF(AND('MAPA V5 2022'!#REF!="Alta",'MAPA V5 2022'!#REF!="Catastrófico"),CONCATENATE("R7C",'MAPA V5 2022'!#REF!),"")</f>
        <v>#REF!</v>
      </c>
      <c r="AL22" s="49" t="str">
        <f>IF(AND('MAPA V5 2022'!$AA$41="Alta",'MAPA V5 2022'!$AC$41="Catastrófico"),CONCATENATE("R7C",'MAPA V5 2022'!$Q$41),"")</f>
        <v/>
      </c>
      <c r="AM22" s="50" t="e">
        <f>IF(AND('MAPA V5 2022'!#REF!="Alta",'MAPA V5 2022'!#REF!="Catastrófico"),CONCATENATE("R7C",'MAPA V5 2022'!#REF!),"")</f>
        <v>#REF!</v>
      </c>
      <c r="AN22" s="77"/>
      <c r="AO22" s="401"/>
      <c r="AP22" s="402"/>
      <c r="AQ22" s="402"/>
      <c r="AR22" s="402"/>
      <c r="AS22" s="402"/>
      <c r="AT22" s="403"/>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row>
    <row r="23" spans="1:76" ht="15" customHeight="1" x14ac:dyDescent="0.25">
      <c r="A23" s="77"/>
      <c r="B23" s="310"/>
      <c r="C23" s="310"/>
      <c r="D23" s="311"/>
      <c r="E23" s="411"/>
      <c r="F23" s="412"/>
      <c r="G23" s="412"/>
      <c r="H23" s="412"/>
      <c r="I23" s="410"/>
      <c r="J23" s="61" t="e">
        <f>IF(AND('MAPA V5 2022'!#REF!="Alta",'MAPA V5 2022'!#REF!="Leve"),CONCATENATE("R8C",'MAPA V5 2022'!#REF!),"")</f>
        <v>#REF!</v>
      </c>
      <c r="K23" s="62" t="e">
        <f>IF(AND('MAPA V5 2022'!#REF!="Alta",'MAPA V5 2022'!#REF!="Leve"),CONCATENATE("R8C",'MAPA V5 2022'!#REF!),"")</f>
        <v>#REF!</v>
      </c>
      <c r="L23" s="62" t="str">
        <f>IF(AND('MAPA V5 2022'!$AA$42="Alta",'MAPA V5 2022'!$AC$42="Leve"),CONCATENATE("R8C",'MAPA V5 2022'!$Q$42),"")</f>
        <v/>
      </c>
      <c r="M23" s="62" t="str">
        <f>IF(AND('MAPA V5 2022'!$AA$43="Alta",'MAPA V5 2022'!$AC$43="Leve"),CONCATENATE("R8C",'MAPA V5 2022'!$Q$43),"")</f>
        <v/>
      </c>
      <c r="N23" s="62" t="e">
        <f>IF(AND('MAPA V5 2022'!#REF!="Alta",'MAPA V5 2022'!#REF!="Leve"),CONCATENATE("R8C",'MAPA V5 2022'!#REF!),"")</f>
        <v>#REF!</v>
      </c>
      <c r="O23" s="63" t="e">
        <f>IF(AND('MAPA V5 2022'!#REF!="Alta",'MAPA V5 2022'!#REF!="Leve"),CONCATENATE("R8C",'MAPA V5 2022'!#REF!),"")</f>
        <v>#REF!</v>
      </c>
      <c r="P23" s="61" t="e">
        <f>IF(AND('MAPA V5 2022'!#REF!="Alta",'MAPA V5 2022'!#REF!="Menor"),CONCATENATE("R8C",'MAPA V5 2022'!#REF!),"")</f>
        <v>#REF!</v>
      </c>
      <c r="Q23" s="62" t="e">
        <f>IF(AND('MAPA V5 2022'!#REF!="Alta",'MAPA V5 2022'!#REF!="Menor"),CONCATENATE("R8C",'MAPA V5 2022'!#REF!),"")</f>
        <v>#REF!</v>
      </c>
      <c r="R23" s="62" t="str">
        <f>IF(AND('MAPA V5 2022'!$AA$42="Alta",'MAPA V5 2022'!$AC$42="Menor"),CONCATENATE("R8C",'MAPA V5 2022'!$Q$42),"")</f>
        <v/>
      </c>
      <c r="S23" s="62" t="str">
        <f>IF(AND('MAPA V5 2022'!$AA$43="Alta",'MAPA V5 2022'!$AC$43="Menor"),CONCATENATE("R8C",'MAPA V5 2022'!$Q$43),"")</f>
        <v/>
      </c>
      <c r="T23" s="62" t="e">
        <f>IF(AND('MAPA V5 2022'!#REF!="Alta",'MAPA V5 2022'!#REF!="Menor"),CONCATENATE("R8C",'MAPA V5 2022'!#REF!),"")</f>
        <v>#REF!</v>
      </c>
      <c r="U23" s="63" t="e">
        <f>IF(AND('MAPA V5 2022'!#REF!="Alta",'MAPA V5 2022'!#REF!="Menor"),CONCATENATE("R8C",'MAPA V5 2022'!#REF!),"")</f>
        <v>#REF!</v>
      </c>
      <c r="V23" s="45" t="e">
        <f>IF(AND('MAPA V5 2022'!#REF!="Alta",'MAPA V5 2022'!#REF!="Moderado"),CONCATENATE("R8C",'MAPA V5 2022'!#REF!),"")</f>
        <v>#REF!</v>
      </c>
      <c r="W23" s="46" t="e">
        <f>IF(AND('MAPA V5 2022'!#REF!="Alta",'MAPA V5 2022'!#REF!="Moderado"),CONCATENATE("R8C",'MAPA V5 2022'!#REF!),"")</f>
        <v>#REF!</v>
      </c>
      <c r="X23" s="51" t="str">
        <f>IF(AND('MAPA V5 2022'!$AA$42="Alta",'MAPA V5 2022'!$AC$42="Moderado"),CONCATENATE("R8C",'MAPA V5 2022'!$Q$42),"")</f>
        <v/>
      </c>
      <c r="Y23" s="51" t="str">
        <f>IF(AND('MAPA V5 2022'!$AA$43="Alta",'MAPA V5 2022'!$AC$43="Moderado"),CONCATENATE("R8C",'MAPA V5 2022'!$Q$43),"")</f>
        <v/>
      </c>
      <c r="Z23" s="51" t="e">
        <f>IF(AND('MAPA V5 2022'!#REF!="Alta",'MAPA V5 2022'!#REF!="Moderado"),CONCATENATE("R8C",'MAPA V5 2022'!#REF!),"")</f>
        <v>#REF!</v>
      </c>
      <c r="AA23" s="47" t="e">
        <f>IF(AND('MAPA V5 2022'!#REF!="Alta",'MAPA V5 2022'!#REF!="Moderado"),CONCATENATE("R8C",'MAPA V5 2022'!#REF!),"")</f>
        <v>#REF!</v>
      </c>
      <c r="AB23" s="45" t="e">
        <f>IF(AND('MAPA V5 2022'!#REF!="Alta",'MAPA V5 2022'!#REF!="Mayor"),CONCATENATE("R8C",'MAPA V5 2022'!#REF!),"")</f>
        <v>#REF!</v>
      </c>
      <c r="AC23" s="46" t="e">
        <f>IF(AND('MAPA V5 2022'!#REF!="Alta",'MAPA V5 2022'!#REF!="Mayor"),CONCATENATE("R8C",'MAPA V5 2022'!#REF!),"")</f>
        <v>#REF!</v>
      </c>
      <c r="AD23" s="51" t="str">
        <f>IF(AND('MAPA V5 2022'!$AA$42="Alta",'MAPA V5 2022'!$AC$42="Mayor"),CONCATENATE("R8C",'MAPA V5 2022'!$Q$42),"")</f>
        <v/>
      </c>
      <c r="AE23" s="51" t="str">
        <f>IF(AND('MAPA V5 2022'!$AA$43="Alta",'MAPA V5 2022'!$AC$43="Mayor"),CONCATENATE("R8C",'MAPA V5 2022'!$Q$43),"")</f>
        <v/>
      </c>
      <c r="AF23" s="51" t="e">
        <f>IF(AND('MAPA V5 2022'!#REF!="Alta",'MAPA V5 2022'!#REF!="Mayor"),CONCATENATE("R8C",'MAPA V5 2022'!#REF!),"")</f>
        <v>#REF!</v>
      </c>
      <c r="AG23" s="47" t="e">
        <f>IF(AND('MAPA V5 2022'!#REF!="Alta",'MAPA V5 2022'!#REF!="Mayor"),CONCATENATE("R8C",'MAPA V5 2022'!#REF!),"")</f>
        <v>#REF!</v>
      </c>
      <c r="AH23" s="48" t="e">
        <f>IF(AND('MAPA V5 2022'!#REF!="Alta",'MAPA V5 2022'!#REF!="Catastrófico"),CONCATENATE("R8C",'MAPA V5 2022'!#REF!),"")</f>
        <v>#REF!</v>
      </c>
      <c r="AI23" s="49" t="e">
        <f>IF(AND('MAPA V5 2022'!#REF!="Alta",'MAPA V5 2022'!#REF!="Catastrófico"),CONCATENATE("R8C",'MAPA V5 2022'!#REF!),"")</f>
        <v>#REF!</v>
      </c>
      <c r="AJ23" s="49" t="str">
        <f>IF(AND('MAPA V5 2022'!$AA$42="Alta",'MAPA V5 2022'!$AC$42="Catastrófico"),CONCATENATE("R8C",'MAPA V5 2022'!$Q$42),"")</f>
        <v/>
      </c>
      <c r="AK23" s="49" t="str">
        <f>IF(AND('MAPA V5 2022'!$AA$43="Alta",'MAPA V5 2022'!$AC$43="Catastrófico"),CONCATENATE("R8C",'MAPA V5 2022'!$Q$43),"")</f>
        <v/>
      </c>
      <c r="AL23" s="49" t="e">
        <f>IF(AND('MAPA V5 2022'!#REF!="Alta",'MAPA V5 2022'!#REF!="Catastrófico"),CONCATENATE("R8C",'MAPA V5 2022'!#REF!),"")</f>
        <v>#REF!</v>
      </c>
      <c r="AM23" s="50" t="e">
        <f>IF(AND('MAPA V5 2022'!#REF!="Alta",'MAPA V5 2022'!#REF!="Catastrófico"),CONCATENATE("R8C",'MAPA V5 2022'!#REF!),"")</f>
        <v>#REF!</v>
      </c>
      <c r="AN23" s="77"/>
      <c r="AO23" s="401"/>
      <c r="AP23" s="402"/>
      <c r="AQ23" s="402"/>
      <c r="AR23" s="402"/>
      <c r="AS23" s="402"/>
      <c r="AT23" s="403"/>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row>
    <row r="24" spans="1:76" ht="15" customHeight="1" x14ac:dyDescent="0.25">
      <c r="A24" s="77"/>
      <c r="B24" s="310"/>
      <c r="C24" s="310"/>
      <c r="D24" s="311"/>
      <c r="E24" s="411"/>
      <c r="F24" s="412"/>
      <c r="G24" s="412"/>
      <c r="H24" s="412"/>
      <c r="I24" s="410"/>
      <c r="J24" s="61" t="str">
        <f>IF(AND('MAPA V5 2022'!$AA$44="Alta",'MAPA V5 2022'!$AC$44="Leve"),CONCATENATE("R9C",'MAPA V5 2022'!$Q$44),"")</f>
        <v/>
      </c>
      <c r="K24" s="62" t="str">
        <f>IF(AND('MAPA V5 2022'!$AA$45="Alta",'MAPA V5 2022'!$AC$45="Leve"),CONCATENATE("R9C",'MAPA V5 2022'!$Q$45),"")</f>
        <v/>
      </c>
      <c r="L24" s="62" t="e">
        <f>IF(AND('MAPA V5 2022'!#REF!="Alta",'MAPA V5 2022'!#REF!="Leve"),CONCATENATE("R9C",'MAPA V5 2022'!#REF!),"")</f>
        <v>#REF!</v>
      </c>
      <c r="M24" s="62" t="e">
        <f>IF(AND('MAPA V5 2022'!#REF!="Alta",'MAPA V5 2022'!#REF!="Leve"),CONCATENATE("R9C",'MAPA V5 2022'!#REF!),"")</f>
        <v>#REF!</v>
      </c>
      <c r="N24" s="62" t="str">
        <f>IF(AND('MAPA V5 2022'!$AA$46="Alta",'MAPA V5 2022'!$AC$46="Leve"),CONCATENATE("R9C",'MAPA V5 2022'!$Q$46),"")</f>
        <v/>
      </c>
      <c r="O24" s="63" t="e">
        <f>IF(AND('MAPA V5 2022'!#REF!="Alta",'MAPA V5 2022'!#REF!="Leve"),CONCATENATE("R9C",'MAPA V5 2022'!#REF!),"")</f>
        <v>#REF!</v>
      </c>
      <c r="P24" s="61" t="str">
        <f>IF(AND('MAPA V5 2022'!$AA$44="Alta",'MAPA V5 2022'!$AC$44="Menor"),CONCATENATE("R9C",'MAPA V5 2022'!$Q$44),"")</f>
        <v/>
      </c>
      <c r="Q24" s="62" t="str">
        <f>IF(AND('MAPA V5 2022'!$AA$45="Alta",'MAPA V5 2022'!$AC$45="Menor"),CONCATENATE("R9C",'MAPA V5 2022'!$Q$45),"")</f>
        <v/>
      </c>
      <c r="R24" s="62" t="e">
        <f>IF(AND('MAPA V5 2022'!#REF!="Alta",'MAPA V5 2022'!#REF!="Menor"),CONCATENATE("R9C",'MAPA V5 2022'!#REF!),"")</f>
        <v>#REF!</v>
      </c>
      <c r="S24" s="62" t="e">
        <f>IF(AND('MAPA V5 2022'!#REF!="Alta",'MAPA V5 2022'!#REF!="Menor"),CONCATENATE("R9C",'MAPA V5 2022'!#REF!),"")</f>
        <v>#REF!</v>
      </c>
      <c r="T24" s="62" t="str">
        <f>IF(AND('MAPA V5 2022'!$AA$46="Alta",'MAPA V5 2022'!$AC$46="Menor"),CONCATENATE("R9C",'MAPA V5 2022'!$Q$46),"")</f>
        <v/>
      </c>
      <c r="U24" s="63" t="e">
        <f>IF(AND('MAPA V5 2022'!#REF!="Alta",'MAPA V5 2022'!#REF!="Menor"),CONCATENATE("R9C",'MAPA V5 2022'!#REF!),"")</f>
        <v>#REF!</v>
      </c>
      <c r="V24" s="45" t="str">
        <f>IF(AND('MAPA V5 2022'!$AA$44="Alta",'MAPA V5 2022'!$AC$44="Moderado"),CONCATENATE("R9C",'MAPA V5 2022'!$Q$44),"")</f>
        <v/>
      </c>
      <c r="W24" s="46" t="str">
        <f>IF(AND('MAPA V5 2022'!$AA$45="Alta",'MAPA V5 2022'!$AC$45="Moderado"),CONCATENATE("R9C",'MAPA V5 2022'!$Q$45),"")</f>
        <v/>
      </c>
      <c r="X24" s="51" t="e">
        <f>IF(AND('MAPA V5 2022'!#REF!="Alta",'MAPA V5 2022'!#REF!="Moderado"),CONCATENATE("R9C",'MAPA V5 2022'!#REF!),"")</f>
        <v>#REF!</v>
      </c>
      <c r="Y24" s="51" t="e">
        <f>IF(AND('MAPA V5 2022'!#REF!="Alta",'MAPA V5 2022'!#REF!="Moderado"),CONCATENATE("R9C",'MAPA V5 2022'!#REF!),"")</f>
        <v>#REF!</v>
      </c>
      <c r="Z24" s="51" t="str">
        <f>IF(AND('MAPA V5 2022'!$AA$46="Alta",'MAPA V5 2022'!$AC$46="Moderado"),CONCATENATE("R9C",'MAPA V5 2022'!$Q$46),"")</f>
        <v/>
      </c>
      <c r="AA24" s="47" t="e">
        <f>IF(AND('MAPA V5 2022'!#REF!="Alta",'MAPA V5 2022'!#REF!="Moderado"),CONCATENATE("R9C",'MAPA V5 2022'!#REF!),"")</f>
        <v>#REF!</v>
      </c>
      <c r="AB24" s="45" t="str">
        <f>IF(AND('MAPA V5 2022'!$AA$44="Alta",'MAPA V5 2022'!$AC$44="Mayor"),CONCATENATE("R9C",'MAPA V5 2022'!$Q$44),"")</f>
        <v/>
      </c>
      <c r="AC24" s="46" t="str">
        <f>IF(AND('MAPA V5 2022'!$AA$45="Alta",'MAPA V5 2022'!$AC$45="Mayor"),CONCATENATE("R9C",'MAPA V5 2022'!$Q$45),"")</f>
        <v/>
      </c>
      <c r="AD24" s="51" t="e">
        <f>IF(AND('MAPA V5 2022'!#REF!="Alta",'MAPA V5 2022'!#REF!="Mayor"),CONCATENATE("R9C",'MAPA V5 2022'!#REF!),"")</f>
        <v>#REF!</v>
      </c>
      <c r="AE24" s="51" t="e">
        <f>IF(AND('MAPA V5 2022'!#REF!="Alta",'MAPA V5 2022'!#REF!="Mayor"),CONCATENATE("R9C",'MAPA V5 2022'!#REF!),"")</f>
        <v>#REF!</v>
      </c>
      <c r="AF24" s="51" t="str">
        <f>IF(AND('MAPA V5 2022'!$AA$46="Alta",'MAPA V5 2022'!$AC$46="Mayor"),CONCATENATE("R9C",'MAPA V5 2022'!$Q$46),"")</f>
        <v/>
      </c>
      <c r="AG24" s="47" t="e">
        <f>IF(AND('MAPA V5 2022'!#REF!="Alta",'MAPA V5 2022'!#REF!="Mayor"),CONCATENATE("R9C",'MAPA V5 2022'!#REF!),"")</f>
        <v>#REF!</v>
      </c>
      <c r="AH24" s="48" t="str">
        <f>IF(AND('MAPA V5 2022'!$AA$44="Alta",'MAPA V5 2022'!$AC$44="Catastrófico"),CONCATENATE("R9C",'MAPA V5 2022'!$Q$44),"")</f>
        <v/>
      </c>
      <c r="AI24" s="49" t="str">
        <f>IF(AND('MAPA V5 2022'!$AA$45="Alta",'MAPA V5 2022'!$AC$45="Catastrófico"),CONCATENATE("R9C",'MAPA V5 2022'!$Q$45),"")</f>
        <v/>
      </c>
      <c r="AJ24" s="49" t="e">
        <f>IF(AND('MAPA V5 2022'!#REF!="Alta",'MAPA V5 2022'!#REF!="Catastrófico"),CONCATENATE("R9C",'MAPA V5 2022'!#REF!),"")</f>
        <v>#REF!</v>
      </c>
      <c r="AK24" s="49" t="e">
        <f>IF(AND('MAPA V5 2022'!#REF!="Alta",'MAPA V5 2022'!#REF!="Catastrófico"),CONCATENATE("R9C",'MAPA V5 2022'!#REF!),"")</f>
        <v>#REF!</v>
      </c>
      <c r="AL24" s="49" t="str">
        <f>IF(AND('MAPA V5 2022'!$AA$46="Alta",'MAPA V5 2022'!$AC$46="Catastrófico"),CONCATENATE("R9C",'MAPA V5 2022'!$Q$46),"")</f>
        <v/>
      </c>
      <c r="AM24" s="50" t="e">
        <f>IF(AND('MAPA V5 2022'!#REF!="Alta",'MAPA V5 2022'!#REF!="Catastrófico"),CONCATENATE("R9C",'MAPA V5 2022'!#REF!),"")</f>
        <v>#REF!</v>
      </c>
      <c r="AN24" s="77"/>
      <c r="AO24" s="401"/>
      <c r="AP24" s="402"/>
      <c r="AQ24" s="402"/>
      <c r="AR24" s="402"/>
      <c r="AS24" s="402"/>
      <c r="AT24" s="403"/>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row>
    <row r="25" spans="1:76" ht="15.75" customHeight="1" thickBot="1" x14ac:dyDescent="0.3">
      <c r="A25" s="77"/>
      <c r="B25" s="310"/>
      <c r="C25" s="310"/>
      <c r="D25" s="311"/>
      <c r="E25" s="413"/>
      <c r="F25" s="414"/>
      <c r="G25" s="414"/>
      <c r="H25" s="414"/>
      <c r="I25" s="414"/>
      <c r="J25" s="64" t="e">
        <f>IF(AND('MAPA V5 2022'!#REF!="Alta",'MAPA V5 2022'!#REF!="Leve"),CONCATENATE("R10C",'MAPA V5 2022'!#REF!),"")</f>
        <v>#REF!</v>
      </c>
      <c r="K25" s="65" t="str">
        <f>IF(AND('MAPA V5 2022'!$AA$48="Alta",'MAPA V5 2022'!$AC$48="Leve"),CONCATENATE("R10C",'MAPA V5 2022'!$Q$48),"")</f>
        <v/>
      </c>
      <c r="L25" s="65" t="str">
        <f>IF(AND('MAPA V5 2022'!$AA$51="Alta",'MAPA V5 2022'!$AC$51="Leve"),CONCATENATE("R10C",'MAPA V5 2022'!$Q$51),"")</f>
        <v/>
      </c>
      <c r="M25" s="65" t="e">
        <f>IF(AND('MAPA V5 2022'!#REF!="Alta",'MAPA V5 2022'!#REF!="Leve"),CONCATENATE("R10C",'MAPA V5 2022'!#REF!),"")</f>
        <v>#REF!</v>
      </c>
      <c r="N25" s="65" t="e">
        <f>IF(AND('MAPA V5 2022'!#REF!="Alta",'MAPA V5 2022'!#REF!="Leve"),CONCATENATE("R10C",'MAPA V5 2022'!#REF!),"")</f>
        <v>#REF!</v>
      </c>
      <c r="O25" s="66" t="e">
        <f>IF(AND('MAPA V5 2022'!#REF!="Alta",'MAPA V5 2022'!#REF!="Leve"),CONCATENATE("R10C",'MAPA V5 2022'!#REF!),"")</f>
        <v>#REF!</v>
      </c>
      <c r="P25" s="64" t="e">
        <f>IF(AND('MAPA V5 2022'!#REF!="Alta",'MAPA V5 2022'!#REF!="Menor"),CONCATENATE("R10C",'MAPA V5 2022'!#REF!),"")</f>
        <v>#REF!</v>
      </c>
      <c r="Q25" s="65" t="str">
        <f>IF(AND('MAPA V5 2022'!$AA$48="Alta",'MAPA V5 2022'!$AC$48="Menor"),CONCATENATE("R10C",'MAPA V5 2022'!$Q$48),"")</f>
        <v/>
      </c>
      <c r="R25" s="65" t="str">
        <f>IF(AND('MAPA V5 2022'!$AA$51="Alta",'MAPA V5 2022'!$AC$51="Menor"),CONCATENATE("R10C",'MAPA V5 2022'!$Q$51),"")</f>
        <v/>
      </c>
      <c r="S25" s="65" t="e">
        <f>IF(AND('MAPA V5 2022'!#REF!="Alta",'MAPA V5 2022'!#REF!="Menor"),CONCATENATE("R10C",'MAPA V5 2022'!#REF!),"")</f>
        <v>#REF!</v>
      </c>
      <c r="T25" s="65" t="e">
        <f>IF(AND('MAPA V5 2022'!#REF!="Alta",'MAPA V5 2022'!#REF!="Menor"),CONCATENATE("R10C",'MAPA V5 2022'!#REF!),"")</f>
        <v>#REF!</v>
      </c>
      <c r="U25" s="66" t="e">
        <f>IF(AND('MAPA V5 2022'!#REF!="Alta",'MAPA V5 2022'!#REF!="Menor"),CONCATENATE("R10C",'MAPA V5 2022'!#REF!),"")</f>
        <v>#REF!</v>
      </c>
      <c r="V25" s="52" t="e">
        <f>IF(AND('MAPA V5 2022'!#REF!="Alta",'MAPA V5 2022'!#REF!="Moderado"),CONCATENATE("R10C",'MAPA V5 2022'!#REF!),"")</f>
        <v>#REF!</v>
      </c>
      <c r="W25" s="53" t="str">
        <f>IF(AND('MAPA V5 2022'!$AA$48="Alta",'MAPA V5 2022'!$AC$48="Moderado"),CONCATENATE("R10C",'MAPA V5 2022'!$Q$48),"")</f>
        <v/>
      </c>
      <c r="X25" s="53" t="str">
        <f>IF(AND('MAPA V5 2022'!$AA$51="Alta",'MAPA V5 2022'!$AC$51="Moderado"),CONCATENATE("R10C",'MAPA V5 2022'!$Q$51),"")</f>
        <v/>
      </c>
      <c r="Y25" s="53" t="e">
        <f>IF(AND('MAPA V5 2022'!#REF!="Alta",'MAPA V5 2022'!#REF!="Moderado"),CONCATENATE("R10C",'MAPA V5 2022'!#REF!),"")</f>
        <v>#REF!</v>
      </c>
      <c r="Z25" s="53" t="e">
        <f>IF(AND('MAPA V5 2022'!#REF!="Alta",'MAPA V5 2022'!#REF!="Moderado"),CONCATENATE("R10C",'MAPA V5 2022'!#REF!),"")</f>
        <v>#REF!</v>
      </c>
      <c r="AA25" s="54" t="e">
        <f>IF(AND('MAPA V5 2022'!#REF!="Alta",'MAPA V5 2022'!#REF!="Moderado"),CONCATENATE("R10C",'MAPA V5 2022'!#REF!),"")</f>
        <v>#REF!</v>
      </c>
      <c r="AB25" s="52" t="e">
        <f>IF(AND('MAPA V5 2022'!#REF!="Alta",'MAPA V5 2022'!#REF!="Mayor"),CONCATENATE("R10C",'MAPA V5 2022'!#REF!),"")</f>
        <v>#REF!</v>
      </c>
      <c r="AC25" s="53" t="str">
        <f>IF(AND('MAPA V5 2022'!$AA$48="Alta",'MAPA V5 2022'!$AC$48="Mayor"),CONCATENATE("R10C",'MAPA V5 2022'!$Q$48),"")</f>
        <v/>
      </c>
      <c r="AD25" s="53" t="str">
        <f>IF(AND('MAPA V5 2022'!$AA$51="Alta",'MAPA V5 2022'!$AC$51="Mayor"),CONCATENATE("R10C",'MAPA V5 2022'!$Q$51),"")</f>
        <v/>
      </c>
      <c r="AE25" s="53" t="e">
        <f>IF(AND('MAPA V5 2022'!#REF!="Alta",'MAPA V5 2022'!#REF!="Mayor"),CONCATENATE("R10C",'MAPA V5 2022'!#REF!),"")</f>
        <v>#REF!</v>
      </c>
      <c r="AF25" s="53" t="e">
        <f>IF(AND('MAPA V5 2022'!#REF!="Alta",'MAPA V5 2022'!#REF!="Mayor"),CONCATENATE("R10C",'MAPA V5 2022'!#REF!),"")</f>
        <v>#REF!</v>
      </c>
      <c r="AG25" s="54" t="e">
        <f>IF(AND('MAPA V5 2022'!#REF!="Alta",'MAPA V5 2022'!#REF!="Mayor"),CONCATENATE("R10C",'MAPA V5 2022'!#REF!),"")</f>
        <v>#REF!</v>
      </c>
      <c r="AH25" s="55" t="e">
        <f>IF(AND('MAPA V5 2022'!#REF!="Alta",'MAPA V5 2022'!#REF!="Catastrófico"),CONCATENATE("R10C",'MAPA V5 2022'!#REF!),"")</f>
        <v>#REF!</v>
      </c>
      <c r="AI25" s="56" t="str">
        <f>IF(AND('MAPA V5 2022'!$AA$48="Alta",'MAPA V5 2022'!$AC$48="Catastrófico"),CONCATENATE("R10C",'MAPA V5 2022'!$Q$48),"")</f>
        <v/>
      </c>
      <c r="AJ25" s="56" t="str">
        <f>IF(AND('MAPA V5 2022'!$AA$51="Alta",'MAPA V5 2022'!$AC$51="Catastrófico"),CONCATENATE("R10C",'MAPA V5 2022'!$Q$51),"")</f>
        <v/>
      </c>
      <c r="AK25" s="56" t="e">
        <f>IF(AND('MAPA V5 2022'!#REF!="Alta",'MAPA V5 2022'!#REF!="Catastrófico"),CONCATENATE("R10C",'MAPA V5 2022'!#REF!),"")</f>
        <v>#REF!</v>
      </c>
      <c r="AL25" s="56" t="e">
        <f>IF(AND('MAPA V5 2022'!#REF!="Alta",'MAPA V5 2022'!#REF!="Catastrófico"),CONCATENATE("R10C",'MAPA V5 2022'!#REF!),"")</f>
        <v>#REF!</v>
      </c>
      <c r="AM25" s="57" t="e">
        <f>IF(AND('MAPA V5 2022'!#REF!="Alta",'MAPA V5 2022'!#REF!="Catastrófico"),CONCATENATE("R10C",'MAPA V5 2022'!#REF!),"")</f>
        <v>#REF!</v>
      </c>
      <c r="AN25" s="77"/>
      <c r="AO25" s="404"/>
      <c r="AP25" s="405"/>
      <c r="AQ25" s="405"/>
      <c r="AR25" s="405"/>
      <c r="AS25" s="405"/>
      <c r="AT25" s="406"/>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row>
    <row r="26" spans="1:76" ht="15" customHeight="1" x14ac:dyDescent="0.25">
      <c r="A26" s="77"/>
      <c r="B26" s="310"/>
      <c r="C26" s="310"/>
      <c r="D26" s="311"/>
      <c r="E26" s="407" t="s">
        <v>98</v>
      </c>
      <c r="F26" s="408"/>
      <c r="G26" s="408"/>
      <c r="H26" s="408"/>
      <c r="I26" s="426"/>
      <c r="J26" s="58" t="str">
        <f>IF(AND('MAPA V5 2022'!$AA$7="Media",'MAPA V5 2022'!$AC$7="Leve"),CONCATENATE("R1C",'MAPA V5 2022'!$Q$7),"")</f>
        <v/>
      </c>
      <c r="K26" s="59" t="str">
        <f>IF(AND('MAPA V5 2022'!$AA$10="Media",'MAPA V5 2022'!$AC$10="Leve"),CONCATENATE("R1C",'MAPA V5 2022'!$Q$10),"")</f>
        <v/>
      </c>
      <c r="L26" s="59" t="str">
        <f>IF(AND('MAPA V5 2022'!$AA$11="Media",'MAPA V5 2022'!$AC$11="Leve"),CONCATENATE("R1C",'MAPA V5 2022'!$Q$11),"")</f>
        <v/>
      </c>
      <c r="M26" s="59" t="e">
        <f>IF(AND('MAPA V5 2022'!#REF!="Media",'MAPA V5 2022'!#REF!="Leve"),CONCATENATE("R1C",'MAPA V5 2022'!#REF!),"")</f>
        <v>#REF!</v>
      </c>
      <c r="N26" s="59" t="e">
        <f>IF(AND('MAPA V5 2022'!#REF!="Media",'MAPA V5 2022'!#REF!="Leve"),CONCATENATE("R1C",'MAPA V5 2022'!#REF!),"")</f>
        <v>#REF!</v>
      </c>
      <c r="O26" s="60" t="e">
        <f>IF(AND('MAPA V5 2022'!#REF!="Media",'MAPA V5 2022'!#REF!="Leve"),CONCATENATE("R1C",'MAPA V5 2022'!#REF!),"")</f>
        <v>#REF!</v>
      </c>
      <c r="P26" s="58" t="str">
        <f>IF(AND('MAPA V5 2022'!$AA$7="Media",'MAPA V5 2022'!$AC$7="Menor"),CONCATENATE("R1C",'MAPA V5 2022'!$Q$7),"")</f>
        <v/>
      </c>
      <c r="Q26" s="59" t="str">
        <f>IF(AND('MAPA V5 2022'!$AA$10="Media",'MAPA V5 2022'!$AC$10="Menor"),CONCATENATE("R1C",'MAPA V5 2022'!$Q$10),"")</f>
        <v/>
      </c>
      <c r="R26" s="59" t="str">
        <f>IF(AND('MAPA V5 2022'!$AA$11="Media",'MAPA V5 2022'!$AC$11="Menor"),CONCATENATE("R1C",'MAPA V5 2022'!$Q$11),"")</f>
        <v/>
      </c>
      <c r="S26" s="59" t="e">
        <f>IF(AND('MAPA V5 2022'!#REF!="Media",'MAPA V5 2022'!#REF!="Menor"),CONCATENATE("R1C",'MAPA V5 2022'!#REF!),"")</f>
        <v>#REF!</v>
      </c>
      <c r="T26" s="59" t="e">
        <f>IF(AND('MAPA V5 2022'!#REF!="Media",'MAPA V5 2022'!#REF!="Menor"),CONCATENATE("R1C",'MAPA V5 2022'!#REF!),"")</f>
        <v>#REF!</v>
      </c>
      <c r="U26" s="60" t="e">
        <f>IF(AND('MAPA V5 2022'!#REF!="Media",'MAPA V5 2022'!#REF!="Menor"),CONCATENATE("R1C",'MAPA V5 2022'!#REF!),"")</f>
        <v>#REF!</v>
      </c>
      <c r="V26" s="58" t="str">
        <f>IF(AND('MAPA V5 2022'!$AA$7="Media",'MAPA V5 2022'!$AC$7="Moderado"),CONCATENATE("R1C",'MAPA V5 2022'!$Q$7),"")</f>
        <v/>
      </c>
      <c r="W26" s="59" t="str">
        <f>IF(AND('MAPA V5 2022'!$AA$10="Media",'MAPA V5 2022'!$AC$10="Moderado"),CONCATENATE("R1C",'MAPA V5 2022'!$Q$10),"")</f>
        <v/>
      </c>
      <c r="X26" s="59" t="str">
        <f>IF(AND('MAPA V5 2022'!$AA$11="Media",'MAPA V5 2022'!$AC$11="Moderado"),CONCATENATE("R1C",'MAPA V5 2022'!$Q$11),"")</f>
        <v/>
      </c>
      <c r="Y26" s="59" t="e">
        <f>IF(AND('MAPA V5 2022'!#REF!="Media",'MAPA V5 2022'!#REF!="Moderado"),CONCATENATE("R1C",'MAPA V5 2022'!#REF!),"")</f>
        <v>#REF!</v>
      </c>
      <c r="Z26" s="59" t="e">
        <f>IF(AND('MAPA V5 2022'!#REF!="Media",'MAPA V5 2022'!#REF!="Moderado"),CONCATENATE("R1C",'MAPA V5 2022'!#REF!),"")</f>
        <v>#REF!</v>
      </c>
      <c r="AA26" s="60" t="e">
        <f>IF(AND('MAPA V5 2022'!#REF!="Media",'MAPA V5 2022'!#REF!="Moderado"),CONCATENATE("R1C",'MAPA V5 2022'!#REF!),"")</f>
        <v>#REF!</v>
      </c>
      <c r="AB26" s="39" t="str">
        <f>IF(AND('MAPA V5 2022'!$AA$7="Media",'MAPA V5 2022'!$AC$7="Mayor"),CONCATENATE("R1C",'MAPA V5 2022'!$Q$7),"")</f>
        <v/>
      </c>
      <c r="AC26" s="40" t="str">
        <f>IF(AND('MAPA V5 2022'!$AA$10="Media",'MAPA V5 2022'!$AC$10="Mayor"),CONCATENATE("R1C",'MAPA V5 2022'!$Q$10),"")</f>
        <v>R1C1</v>
      </c>
      <c r="AD26" s="40" t="str">
        <f>IF(AND('MAPA V5 2022'!$AA$11="Media",'MAPA V5 2022'!$AC$11="Mayor"),CONCATENATE("R1C",'MAPA V5 2022'!$Q$11),"")</f>
        <v/>
      </c>
      <c r="AE26" s="40" t="e">
        <f>IF(AND('MAPA V5 2022'!#REF!="Media",'MAPA V5 2022'!#REF!="Mayor"),CONCATENATE("R1C",'MAPA V5 2022'!#REF!),"")</f>
        <v>#REF!</v>
      </c>
      <c r="AF26" s="40" t="e">
        <f>IF(AND('MAPA V5 2022'!#REF!="Media",'MAPA V5 2022'!#REF!="Mayor"),CONCATENATE("R1C",'MAPA V5 2022'!#REF!),"")</f>
        <v>#REF!</v>
      </c>
      <c r="AG26" s="41" t="e">
        <f>IF(AND('MAPA V5 2022'!#REF!="Media",'MAPA V5 2022'!#REF!="Mayor"),CONCATENATE("R1C",'MAPA V5 2022'!#REF!),"")</f>
        <v>#REF!</v>
      </c>
      <c r="AH26" s="42" t="str">
        <f>IF(AND('MAPA V5 2022'!$AA$7="Media",'MAPA V5 2022'!$AC$7="Catastrófico"),CONCATENATE("R1C",'MAPA V5 2022'!$Q$7),"")</f>
        <v/>
      </c>
      <c r="AI26" s="43" t="str">
        <f>IF(AND('MAPA V5 2022'!$AA$10="Media",'MAPA V5 2022'!$AC$10="Catastrófico"),CONCATENATE("R1C",'MAPA V5 2022'!$Q$10),"")</f>
        <v/>
      </c>
      <c r="AJ26" s="43" t="str">
        <f>IF(AND('MAPA V5 2022'!$AA$11="Media",'MAPA V5 2022'!$AC$11="Catastrófico"),CONCATENATE("R1C",'MAPA V5 2022'!$Q$11),"")</f>
        <v/>
      </c>
      <c r="AK26" s="43" t="e">
        <f>IF(AND('MAPA V5 2022'!#REF!="Media",'MAPA V5 2022'!#REF!="Catastrófico"),CONCATENATE("R1C",'MAPA V5 2022'!#REF!),"")</f>
        <v>#REF!</v>
      </c>
      <c r="AL26" s="43" t="e">
        <f>IF(AND('MAPA V5 2022'!#REF!="Media",'MAPA V5 2022'!#REF!="Catastrófico"),CONCATENATE("R1C",'MAPA V5 2022'!#REF!),"")</f>
        <v>#REF!</v>
      </c>
      <c r="AM26" s="44" t="e">
        <f>IF(AND('MAPA V5 2022'!#REF!="Media",'MAPA V5 2022'!#REF!="Catastrófico"),CONCATENATE("R1C",'MAPA V5 2022'!#REF!),"")</f>
        <v>#REF!</v>
      </c>
      <c r="AN26" s="77"/>
      <c r="AO26" s="438" t="s">
        <v>65</v>
      </c>
      <c r="AP26" s="439"/>
      <c r="AQ26" s="439"/>
      <c r="AR26" s="439"/>
      <c r="AS26" s="439"/>
      <c r="AT26" s="440"/>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row>
    <row r="27" spans="1:76" ht="15" customHeight="1" x14ac:dyDescent="0.25">
      <c r="A27" s="77"/>
      <c r="B27" s="310"/>
      <c r="C27" s="310"/>
      <c r="D27" s="311"/>
      <c r="E27" s="409"/>
      <c r="F27" s="410"/>
      <c r="G27" s="410"/>
      <c r="H27" s="410"/>
      <c r="I27" s="427"/>
      <c r="J27" s="61" t="str">
        <f>IF(AND('MAPA V5 2022'!$AA$12="Media",'MAPA V5 2022'!$AC$12="Leve"),CONCATENATE("R2C",'MAPA V5 2022'!$Q$12),"")</f>
        <v/>
      </c>
      <c r="K27" s="62" t="str">
        <f>IF(AND('MAPA V5 2022'!$AA$13="Media",'MAPA V5 2022'!$AC$13="Leve"),CONCATENATE("R2C",'MAPA V5 2022'!$Q$13),"")</f>
        <v/>
      </c>
      <c r="L27" s="62" t="str">
        <f>IF(AND('MAPA V5 2022'!$AA$14="Media",'MAPA V5 2022'!$AC$14="Leve"),CONCATENATE("R2C",'MAPA V5 2022'!$Q$14),"")</f>
        <v/>
      </c>
      <c r="M27" s="62" t="str">
        <f>IF(AND('MAPA V5 2022'!$AA$15="Media",'MAPA V5 2022'!$AC$15="Leve"),CONCATENATE("R2C",'MAPA V5 2022'!$Q$15),"")</f>
        <v/>
      </c>
      <c r="N27" s="62" t="str">
        <f>IF(AND('MAPA V5 2022'!$AA$17="Media",'MAPA V5 2022'!$AC$17="Leve"),CONCATENATE("R2C",'MAPA V5 2022'!$Q$17),"")</f>
        <v/>
      </c>
      <c r="O27" s="63" t="e">
        <f>IF(AND('MAPA V5 2022'!#REF!="Media",'MAPA V5 2022'!#REF!="Leve"),CONCATENATE("R2C",'MAPA V5 2022'!#REF!),"")</f>
        <v>#REF!</v>
      </c>
      <c r="P27" s="61" t="str">
        <f>IF(AND('MAPA V5 2022'!$AA$12="Media",'MAPA V5 2022'!$AC$12="Menor"),CONCATENATE("R2C",'MAPA V5 2022'!$Q$12),"")</f>
        <v/>
      </c>
      <c r="Q27" s="62" t="str">
        <f>IF(AND('MAPA V5 2022'!$AA$13="Media",'MAPA V5 2022'!$AC$13="Menor"),CONCATENATE("R2C",'MAPA V5 2022'!$Q$13),"")</f>
        <v/>
      </c>
      <c r="R27" s="62" t="str">
        <f>IF(AND('MAPA V5 2022'!$AA$14="Media",'MAPA V5 2022'!$AC$14="Menor"),CONCATENATE("R2C",'MAPA V5 2022'!$Q$14),"")</f>
        <v/>
      </c>
      <c r="S27" s="62" t="str">
        <f>IF(AND('MAPA V5 2022'!$AA$15="Media",'MAPA V5 2022'!$AC$15="Menor"),CONCATENATE("R2C",'MAPA V5 2022'!$Q$15),"")</f>
        <v/>
      </c>
      <c r="T27" s="62" t="str">
        <f>IF(AND('MAPA V5 2022'!$AA$17="Media",'MAPA V5 2022'!$AC$17="Menor"),CONCATENATE("R2C",'MAPA V5 2022'!$Q$17),"")</f>
        <v/>
      </c>
      <c r="U27" s="63" t="e">
        <f>IF(AND('MAPA V5 2022'!#REF!="Media",'MAPA V5 2022'!#REF!="Menor"),CONCATENATE("R2C",'MAPA V5 2022'!#REF!),"")</f>
        <v>#REF!</v>
      </c>
      <c r="V27" s="61" t="str">
        <f>IF(AND('MAPA V5 2022'!$AA$12="Media",'MAPA V5 2022'!$AC$12="Moderado"),CONCATENATE("R2C",'MAPA V5 2022'!$Q$12),"")</f>
        <v/>
      </c>
      <c r="W27" s="62" t="str">
        <f>IF(AND('MAPA V5 2022'!$AA$13="Media",'MAPA V5 2022'!$AC$13="Moderado"),CONCATENATE("R2C",'MAPA V5 2022'!$Q$13),"")</f>
        <v/>
      </c>
      <c r="X27" s="62" t="str">
        <f>IF(AND('MAPA V5 2022'!$AA$14="Media",'MAPA V5 2022'!$AC$14="Moderado"),CONCATENATE("R2C",'MAPA V5 2022'!$Q$14),"")</f>
        <v/>
      </c>
      <c r="Y27" s="62" t="str">
        <f>IF(AND('MAPA V5 2022'!$AA$15="Media",'MAPA V5 2022'!$AC$15="Moderado"),CONCATENATE("R2C",'MAPA V5 2022'!$Q$15),"")</f>
        <v/>
      </c>
      <c r="Z27" s="62" t="str">
        <f>IF(AND('MAPA V5 2022'!$AA$17="Media",'MAPA V5 2022'!$AC$17="Moderado"),CONCATENATE("R2C",'MAPA V5 2022'!$Q$17),"")</f>
        <v/>
      </c>
      <c r="AA27" s="63" t="e">
        <f>IF(AND('MAPA V5 2022'!#REF!="Media",'MAPA V5 2022'!#REF!="Moderado"),CONCATENATE("R2C",'MAPA V5 2022'!#REF!),"")</f>
        <v>#REF!</v>
      </c>
      <c r="AB27" s="45" t="str">
        <f>IF(AND('MAPA V5 2022'!$AA$12="Media",'MAPA V5 2022'!$AC$12="Mayor"),CONCATENATE("R2C",'MAPA V5 2022'!$Q$12),"")</f>
        <v>R2C1</v>
      </c>
      <c r="AC27" s="46" t="str">
        <f>IF(AND('MAPA V5 2022'!$AA$13="Media",'MAPA V5 2022'!$AC$13="Mayor"),CONCATENATE("R2C",'MAPA V5 2022'!$Q$13),"")</f>
        <v/>
      </c>
      <c r="AD27" s="46" t="str">
        <f>IF(AND('MAPA V5 2022'!$AA$14="Media",'MAPA V5 2022'!$AC$14="Mayor"),CONCATENATE("R2C",'MAPA V5 2022'!$Q$14),"")</f>
        <v/>
      </c>
      <c r="AE27" s="46" t="str">
        <f>IF(AND('MAPA V5 2022'!$AA$15="Media",'MAPA V5 2022'!$AC$15="Mayor"),CONCATENATE("R2C",'MAPA V5 2022'!$Q$15),"")</f>
        <v/>
      </c>
      <c r="AF27" s="46" t="str">
        <f>IF(AND('MAPA V5 2022'!$AA$17="Media",'MAPA V5 2022'!$AC$17="Mayor"),CONCATENATE("R2C",'MAPA V5 2022'!$Q$17),"")</f>
        <v/>
      </c>
      <c r="AG27" s="47" t="e">
        <f>IF(AND('MAPA V5 2022'!#REF!="Media",'MAPA V5 2022'!#REF!="Mayor"),CONCATENATE("R2C",'MAPA V5 2022'!#REF!),"")</f>
        <v>#REF!</v>
      </c>
      <c r="AH27" s="48" t="str">
        <f>IF(AND('MAPA V5 2022'!$AA$12="Media",'MAPA V5 2022'!$AC$12="Catastrófico"),CONCATENATE("R2C",'MAPA V5 2022'!$Q$12),"")</f>
        <v/>
      </c>
      <c r="AI27" s="49" t="str">
        <f>IF(AND('MAPA V5 2022'!$AA$13="Media",'MAPA V5 2022'!$AC$13="Catastrófico"),CONCATENATE("R2C",'MAPA V5 2022'!$Q$13),"")</f>
        <v/>
      </c>
      <c r="AJ27" s="49" t="str">
        <f>IF(AND('MAPA V5 2022'!$AA$14="Media",'MAPA V5 2022'!$AC$14="Catastrófico"),CONCATENATE("R2C",'MAPA V5 2022'!$Q$14),"")</f>
        <v/>
      </c>
      <c r="AK27" s="49" t="str">
        <f>IF(AND('MAPA V5 2022'!$AA$15="Media",'MAPA V5 2022'!$AC$15="Catastrófico"),CONCATENATE("R2C",'MAPA V5 2022'!$Q$15),"")</f>
        <v/>
      </c>
      <c r="AL27" s="49" t="str">
        <f>IF(AND('MAPA V5 2022'!$AA$17="Media",'MAPA V5 2022'!$AC$17="Catastrófico"),CONCATENATE("R2C",'MAPA V5 2022'!$Q$17),"")</f>
        <v/>
      </c>
      <c r="AM27" s="50" t="e">
        <f>IF(AND('MAPA V5 2022'!#REF!="Media",'MAPA V5 2022'!#REF!="Catastrófico"),CONCATENATE("R2C",'MAPA V5 2022'!#REF!),"")</f>
        <v>#REF!</v>
      </c>
      <c r="AN27" s="77"/>
      <c r="AO27" s="441"/>
      <c r="AP27" s="442"/>
      <c r="AQ27" s="442"/>
      <c r="AR27" s="442"/>
      <c r="AS27" s="442"/>
      <c r="AT27" s="443"/>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row>
    <row r="28" spans="1:76" ht="15" customHeight="1" x14ac:dyDescent="0.25">
      <c r="A28" s="77"/>
      <c r="B28" s="310"/>
      <c r="C28" s="310"/>
      <c r="D28" s="311"/>
      <c r="E28" s="411"/>
      <c r="F28" s="412"/>
      <c r="G28" s="412"/>
      <c r="H28" s="412"/>
      <c r="I28" s="427"/>
      <c r="J28" s="61" t="str">
        <f>IF(AND('MAPA V5 2022'!$AA$18="Media",'MAPA V5 2022'!$AC$18="Leve"),CONCATENATE("R3C",'MAPA V5 2022'!$Q$18),"")</f>
        <v/>
      </c>
      <c r="K28" s="62" t="str">
        <f>IF(AND('MAPA V5 2022'!$AA$19="Media",'MAPA V5 2022'!$AC$19="Leve"),CONCATENATE("R3C",'MAPA V5 2022'!$Q$19),"")</f>
        <v/>
      </c>
      <c r="L28" s="62" t="str">
        <f>IF(AND('MAPA V5 2022'!$AA$21="Media",'MAPA V5 2022'!$AC$21="Leve"),CONCATENATE("R3C",'MAPA V5 2022'!$Q$21),"")</f>
        <v/>
      </c>
      <c r="M28" s="62" t="e">
        <f>IF(AND('MAPA V5 2022'!#REF!="Media",'MAPA V5 2022'!#REF!="Leve"),CONCATENATE("R3C",'MAPA V5 2022'!#REF!),"")</f>
        <v>#REF!</v>
      </c>
      <c r="N28" s="62" t="str">
        <f>IF(AND('MAPA V5 2022'!$AA$23="Media",'MAPA V5 2022'!$AC$23="Leve"),CONCATENATE("R3C",'MAPA V5 2022'!$Q$23),"")</f>
        <v/>
      </c>
      <c r="O28" s="63" t="str">
        <f>IF(AND('MAPA V5 2022'!$AA$24="Media",'MAPA V5 2022'!$AC$24="Leve"),CONCATENATE("R3C",'MAPA V5 2022'!$Q$24),"")</f>
        <v/>
      </c>
      <c r="P28" s="61" t="str">
        <f>IF(AND('MAPA V5 2022'!$AA$18="Media",'MAPA V5 2022'!$AC$18="Menor"),CONCATENATE("R3C",'MAPA V5 2022'!$Q$18),"")</f>
        <v/>
      </c>
      <c r="Q28" s="62" t="str">
        <f>IF(AND('MAPA V5 2022'!$AA$19="Media",'MAPA V5 2022'!$AC$19="Menor"),CONCATENATE("R3C",'MAPA V5 2022'!$Q$19),"")</f>
        <v/>
      </c>
      <c r="R28" s="62" t="str">
        <f>IF(AND('MAPA V5 2022'!$AA$21="Media",'MAPA V5 2022'!$AC$21="Menor"),CONCATENATE("R3C",'MAPA V5 2022'!$Q$21),"")</f>
        <v/>
      </c>
      <c r="S28" s="62" t="e">
        <f>IF(AND('MAPA V5 2022'!#REF!="Media",'MAPA V5 2022'!#REF!="Menor"),CONCATENATE("R3C",'MAPA V5 2022'!#REF!),"")</f>
        <v>#REF!</v>
      </c>
      <c r="T28" s="62" t="str">
        <f>IF(AND('MAPA V5 2022'!$AA$23="Media",'MAPA V5 2022'!$AC$23="Menor"),CONCATENATE("R3C",'MAPA V5 2022'!$Q$23),"")</f>
        <v/>
      </c>
      <c r="U28" s="63" t="str">
        <f>IF(AND('MAPA V5 2022'!$AA$24="Media",'MAPA V5 2022'!$AC$24="Menor"),CONCATENATE("R3C",'MAPA V5 2022'!$Q$24),"")</f>
        <v/>
      </c>
      <c r="V28" s="61" t="str">
        <f>IF(AND('MAPA V5 2022'!$AA$18="Media",'MAPA V5 2022'!$AC$18="Moderado"),CONCATENATE("R3C",'MAPA V5 2022'!$Q$18),"")</f>
        <v>R3C1</v>
      </c>
      <c r="W28" s="62" t="str">
        <f>IF(AND('MAPA V5 2022'!$AA$19="Media",'MAPA V5 2022'!$AC$19="Moderado"),CONCATENATE("R3C",'MAPA V5 2022'!$Q$19),"")</f>
        <v/>
      </c>
      <c r="X28" s="62" t="str">
        <f>IF(AND('MAPA V5 2022'!$AA$21="Media",'MAPA V5 2022'!$AC$21="Moderado"),CONCATENATE("R3C",'MAPA V5 2022'!$Q$21),"")</f>
        <v>R3C1</v>
      </c>
      <c r="Y28" s="62" t="e">
        <f>IF(AND('MAPA V5 2022'!#REF!="Media",'MAPA V5 2022'!#REF!="Moderado"),CONCATENATE("R3C",'MAPA V5 2022'!#REF!),"")</f>
        <v>#REF!</v>
      </c>
      <c r="Z28" s="62" t="str">
        <f>IF(AND('MAPA V5 2022'!$AA$23="Media",'MAPA V5 2022'!$AC$23="Moderado"),CONCATENATE("R3C",'MAPA V5 2022'!$Q$23),"")</f>
        <v/>
      </c>
      <c r="AA28" s="63" t="str">
        <f>IF(AND('MAPA V5 2022'!$AA$24="Media",'MAPA V5 2022'!$AC$24="Moderado"),CONCATENATE("R3C",'MAPA V5 2022'!$Q$24),"")</f>
        <v/>
      </c>
      <c r="AB28" s="45" t="str">
        <f>IF(AND('MAPA V5 2022'!$AA$18="Media",'MAPA V5 2022'!$AC$18="Mayor"),CONCATENATE("R3C",'MAPA V5 2022'!$Q$18),"")</f>
        <v/>
      </c>
      <c r="AC28" s="46" t="str">
        <f>IF(AND('MAPA V5 2022'!$AA$19="Media",'MAPA V5 2022'!$AC$19="Mayor"),CONCATENATE("R3C",'MAPA V5 2022'!$Q$19),"")</f>
        <v/>
      </c>
      <c r="AD28" s="46" t="str">
        <f>IF(AND('MAPA V5 2022'!$AA$21="Media",'MAPA V5 2022'!$AC$21="Mayor"),CONCATENATE("R3C",'MAPA V5 2022'!$Q$21),"")</f>
        <v/>
      </c>
      <c r="AE28" s="46" t="e">
        <f>IF(AND('MAPA V5 2022'!#REF!="Media",'MAPA V5 2022'!#REF!="Mayor"),CONCATENATE("R3C",'MAPA V5 2022'!#REF!),"")</f>
        <v>#REF!</v>
      </c>
      <c r="AF28" s="46" t="str">
        <f>IF(AND('MAPA V5 2022'!$AA$23="Media",'MAPA V5 2022'!$AC$23="Mayor"),CONCATENATE("R3C",'MAPA V5 2022'!$Q$23),"")</f>
        <v/>
      </c>
      <c r="AG28" s="47" t="str">
        <f>IF(AND('MAPA V5 2022'!$AA$24="Media",'MAPA V5 2022'!$AC$24="Mayor"),CONCATENATE("R3C",'MAPA V5 2022'!$Q$24),"")</f>
        <v/>
      </c>
      <c r="AH28" s="48" t="str">
        <f>IF(AND('MAPA V5 2022'!$AA$18="Media",'MAPA V5 2022'!$AC$18="Catastrófico"),CONCATENATE("R3C",'MAPA V5 2022'!$Q$18),"")</f>
        <v/>
      </c>
      <c r="AI28" s="49" t="str">
        <f>IF(AND('MAPA V5 2022'!$AA$19="Media",'MAPA V5 2022'!$AC$19="Catastrófico"),CONCATENATE("R3C",'MAPA V5 2022'!$Q$19),"")</f>
        <v/>
      </c>
      <c r="AJ28" s="49" t="str">
        <f>IF(AND('MAPA V5 2022'!$AA$21="Media",'MAPA V5 2022'!$AC$21="Catastrófico"),CONCATENATE("R3C",'MAPA V5 2022'!$Q$21),"")</f>
        <v/>
      </c>
      <c r="AK28" s="49" t="e">
        <f>IF(AND('MAPA V5 2022'!#REF!="Media",'MAPA V5 2022'!#REF!="Catastrófico"),CONCATENATE("R3C",'MAPA V5 2022'!#REF!),"")</f>
        <v>#REF!</v>
      </c>
      <c r="AL28" s="49" t="str">
        <f>IF(AND('MAPA V5 2022'!$AA$23="Media",'MAPA V5 2022'!$AC$23="Catastrófico"),CONCATENATE("R3C",'MAPA V5 2022'!$Q$23),"")</f>
        <v/>
      </c>
      <c r="AM28" s="50" t="str">
        <f>IF(AND('MAPA V5 2022'!$AA$24="Media",'MAPA V5 2022'!$AC$24="Catastrófico"),CONCATENATE("R3C",'MAPA V5 2022'!$Q$24),"")</f>
        <v/>
      </c>
      <c r="AN28" s="77"/>
      <c r="AO28" s="441"/>
      <c r="AP28" s="442"/>
      <c r="AQ28" s="442"/>
      <c r="AR28" s="442"/>
      <c r="AS28" s="442"/>
      <c r="AT28" s="443"/>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row>
    <row r="29" spans="1:76" ht="15" customHeight="1" x14ac:dyDescent="0.25">
      <c r="A29" s="77"/>
      <c r="B29" s="310"/>
      <c r="C29" s="310"/>
      <c r="D29" s="311"/>
      <c r="E29" s="411"/>
      <c r="F29" s="412"/>
      <c r="G29" s="412"/>
      <c r="H29" s="412"/>
      <c r="I29" s="427"/>
      <c r="J29" s="61" t="str">
        <f>IF(AND('MAPA V5 2022'!$AA$25="Media",'MAPA V5 2022'!$AC$25="Leve"),CONCATENATE("R4C",'MAPA V5 2022'!$Q$25),"")</f>
        <v/>
      </c>
      <c r="K29" s="62" t="e">
        <f>IF(AND('MAPA V5 2022'!#REF!="Media",'MAPA V5 2022'!#REF!="Leve"),CONCATENATE("R4C",'MAPA V5 2022'!#REF!),"")</f>
        <v>#REF!</v>
      </c>
      <c r="L29" s="62" t="str">
        <f>IF(AND('MAPA V5 2022'!$AA$26="Media",'MAPA V5 2022'!$AC$26="Leve"),CONCATENATE("R4C",'MAPA V5 2022'!$Q$26),"")</f>
        <v/>
      </c>
      <c r="M29" s="62" t="str">
        <f>IF(AND('MAPA V5 2022'!$AA$27="Media",'MAPA V5 2022'!$AC$27="Leve"),CONCATENATE("R4C",'MAPA V5 2022'!$Q$27),"")</f>
        <v/>
      </c>
      <c r="N29" s="62" t="e">
        <f>IF(AND('MAPA V5 2022'!#REF!="Media",'MAPA V5 2022'!#REF!="Leve"),CONCATENATE("R4C",'MAPA V5 2022'!#REF!),"")</f>
        <v>#REF!</v>
      </c>
      <c r="O29" s="63" t="str">
        <f>IF(AND('MAPA V5 2022'!$AA$28="Media",'MAPA V5 2022'!$AC$28="Leve"),CONCATENATE("R4C",'MAPA V5 2022'!$Q$28),"")</f>
        <v/>
      </c>
      <c r="P29" s="61" t="str">
        <f>IF(AND('MAPA V5 2022'!$AA$25="Media",'MAPA V5 2022'!$AC$25="Menor"),CONCATENATE("R4C",'MAPA V5 2022'!$Q$25),"")</f>
        <v/>
      </c>
      <c r="Q29" s="62" t="e">
        <f>IF(AND('MAPA V5 2022'!#REF!="Media",'MAPA V5 2022'!#REF!="Menor"),CONCATENATE("R4C",'MAPA V5 2022'!#REF!),"")</f>
        <v>#REF!</v>
      </c>
      <c r="R29" s="62" t="str">
        <f>IF(AND('MAPA V5 2022'!$AA$26="Media",'MAPA V5 2022'!$AC$26="Menor"),CONCATENATE("R4C",'MAPA V5 2022'!$Q$26),"")</f>
        <v/>
      </c>
      <c r="S29" s="62" t="str">
        <f>IF(AND('MAPA V5 2022'!$AA$27="Media",'MAPA V5 2022'!$AC$27="Menor"),CONCATENATE("R4C",'MAPA V5 2022'!$Q$27),"")</f>
        <v/>
      </c>
      <c r="T29" s="62" t="e">
        <f>IF(AND('MAPA V5 2022'!#REF!="Media",'MAPA V5 2022'!#REF!="Menor"),CONCATENATE("R4C",'MAPA V5 2022'!#REF!),"")</f>
        <v>#REF!</v>
      </c>
      <c r="U29" s="63" t="str">
        <f>IF(AND('MAPA V5 2022'!$AA$28="Media",'MAPA V5 2022'!$AC$28="Menor"),CONCATENATE("R4C",'MAPA V5 2022'!$Q$28),"")</f>
        <v/>
      </c>
      <c r="V29" s="61" t="str">
        <f>IF(AND('MAPA V5 2022'!$AA$25="Media",'MAPA V5 2022'!$AC$25="Moderado"),CONCATENATE("R4C",'MAPA V5 2022'!$Q$25),"")</f>
        <v/>
      </c>
      <c r="W29" s="62" t="e">
        <f>IF(AND('MAPA V5 2022'!#REF!="Media",'MAPA V5 2022'!#REF!="Moderado"),CONCATENATE("R4C",'MAPA V5 2022'!#REF!),"")</f>
        <v>#REF!</v>
      </c>
      <c r="X29" s="62" t="str">
        <f>IF(AND('MAPA V5 2022'!$AA$26="Media",'MAPA V5 2022'!$AC$26="Moderado"),CONCATENATE("R4C",'MAPA V5 2022'!$Q$26),"")</f>
        <v>R4C1</v>
      </c>
      <c r="Y29" s="62" t="str">
        <f>IF(AND('MAPA V5 2022'!$AA$27="Media",'MAPA V5 2022'!$AC$27="Moderado"),CONCATENATE("R4C",'MAPA V5 2022'!$Q$27),"")</f>
        <v/>
      </c>
      <c r="Z29" s="62" t="e">
        <f>IF(AND('MAPA V5 2022'!#REF!="Media",'MAPA V5 2022'!#REF!="Moderado"),CONCATENATE("R4C",'MAPA V5 2022'!#REF!),"")</f>
        <v>#REF!</v>
      </c>
      <c r="AA29" s="63" t="str">
        <f>IF(AND('MAPA V5 2022'!$AA$28="Media",'MAPA V5 2022'!$AC$28="Moderado"),CONCATENATE("R4C",'MAPA V5 2022'!$Q$28),"")</f>
        <v/>
      </c>
      <c r="AB29" s="45" t="str">
        <f>IF(AND('MAPA V5 2022'!$AA$25="Media",'MAPA V5 2022'!$AC$25="Mayor"),CONCATENATE("R4C",'MAPA V5 2022'!$Q$25),"")</f>
        <v>R4C1</v>
      </c>
      <c r="AC29" s="46" t="e">
        <f>IF(AND('MAPA V5 2022'!#REF!="Media",'MAPA V5 2022'!#REF!="Mayor"),CONCATENATE("R4C",'MAPA V5 2022'!#REF!),"")</f>
        <v>#REF!</v>
      </c>
      <c r="AD29" s="51" t="str">
        <f>IF(AND('MAPA V5 2022'!$AA$26="Media",'MAPA V5 2022'!$AC$26="Mayor"),CONCATENATE("R4C",'MAPA V5 2022'!$Q$26),"")</f>
        <v/>
      </c>
      <c r="AE29" s="51" t="str">
        <f>IF(AND('MAPA V5 2022'!$AA$27="Media",'MAPA V5 2022'!$AC$27="Mayor"),CONCATENATE("R4C",'MAPA V5 2022'!$Q$27),"")</f>
        <v/>
      </c>
      <c r="AF29" s="51" t="e">
        <f>IF(AND('MAPA V5 2022'!#REF!="Media",'MAPA V5 2022'!#REF!="Mayor"),CONCATENATE("R4C",'MAPA V5 2022'!#REF!),"")</f>
        <v>#REF!</v>
      </c>
      <c r="AG29" s="47" t="str">
        <f>IF(AND('MAPA V5 2022'!$AA$28="Media",'MAPA V5 2022'!$AC$28="Mayor"),CONCATENATE("R4C",'MAPA V5 2022'!$Q$28),"")</f>
        <v/>
      </c>
      <c r="AH29" s="48" t="str">
        <f>IF(AND('MAPA V5 2022'!$AA$25="Media",'MAPA V5 2022'!$AC$25="Catastrófico"),CONCATENATE("R4C",'MAPA V5 2022'!$Q$25),"")</f>
        <v/>
      </c>
      <c r="AI29" s="49" t="e">
        <f>IF(AND('MAPA V5 2022'!#REF!="Media",'MAPA V5 2022'!#REF!="Catastrófico"),CONCATENATE("R4C",'MAPA V5 2022'!#REF!),"")</f>
        <v>#REF!</v>
      </c>
      <c r="AJ29" s="49" t="str">
        <f>IF(AND('MAPA V5 2022'!$AA$26="Media",'MAPA V5 2022'!$AC$26="Catastrófico"),CONCATENATE("R4C",'MAPA V5 2022'!$Q$26),"")</f>
        <v/>
      </c>
      <c r="AK29" s="49" t="str">
        <f>IF(AND('MAPA V5 2022'!$AA$27="Media",'MAPA V5 2022'!$AC$27="Catastrófico"),CONCATENATE("R4C",'MAPA V5 2022'!$Q$27),"")</f>
        <v/>
      </c>
      <c r="AL29" s="49" t="e">
        <f>IF(AND('MAPA V5 2022'!#REF!="Media",'MAPA V5 2022'!#REF!="Catastrófico"),CONCATENATE("R4C",'MAPA V5 2022'!#REF!),"")</f>
        <v>#REF!</v>
      </c>
      <c r="AM29" s="50" t="str">
        <f>IF(AND('MAPA V5 2022'!$AA$28="Media",'MAPA V5 2022'!$AC$28="Catastrófico"),CONCATENATE("R4C",'MAPA V5 2022'!$Q$28),"")</f>
        <v>R4C1</v>
      </c>
      <c r="AN29" s="77"/>
      <c r="AO29" s="441"/>
      <c r="AP29" s="442"/>
      <c r="AQ29" s="442"/>
      <c r="AR29" s="442"/>
      <c r="AS29" s="442"/>
      <c r="AT29" s="443"/>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row>
    <row r="30" spans="1:76" ht="15" customHeight="1" x14ac:dyDescent="0.25">
      <c r="A30" s="77"/>
      <c r="B30" s="310"/>
      <c r="C30" s="310"/>
      <c r="D30" s="311"/>
      <c r="E30" s="411"/>
      <c r="F30" s="412"/>
      <c r="G30" s="412"/>
      <c r="H30" s="412"/>
      <c r="I30" s="427"/>
      <c r="J30" s="61" t="str">
        <f>IF(AND('MAPA V5 2022'!$AA$29="Media",'MAPA V5 2022'!$AC$29="Leve"),CONCATENATE("R5C",'MAPA V5 2022'!$Q$29),"")</f>
        <v/>
      </c>
      <c r="K30" s="62" t="str">
        <f>IF(AND('MAPA V5 2022'!$AA$30="Media",'MAPA V5 2022'!$AC$30="Leve"),CONCATENATE("R5C",'MAPA V5 2022'!$Q$30),"")</f>
        <v/>
      </c>
      <c r="L30" s="62" t="str">
        <f>IF(AND('MAPA V5 2022'!$AA$31="Media",'MAPA V5 2022'!$AC$31="Leve"),CONCATENATE("R5C",'MAPA V5 2022'!$Q$31),"")</f>
        <v/>
      </c>
      <c r="M30" s="62" t="str">
        <f>IF(AND('MAPA V5 2022'!$AA$33="Media",'MAPA V5 2022'!$AC$33="Leve"),CONCATENATE("R5C",'MAPA V5 2022'!$Q$33),"")</f>
        <v/>
      </c>
      <c r="N30" s="62" t="str">
        <f>IF(AND('MAPA V5 2022'!$AA$34="Media",'MAPA V5 2022'!$AC$34="Leve"),CONCATENATE("R5C",'MAPA V5 2022'!$Q$34),"")</f>
        <v/>
      </c>
      <c r="O30" s="63" t="e">
        <f>IF(AND('MAPA V5 2022'!#REF!="Media",'MAPA V5 2022'!#REF!="Leve"),CONCATENATE("R5C",'MAPA V5 2022'!#REF!),"")</f>
        <v>#REF!</v>
      </c>
      <c r="P30" s="61" t="str">
        <f>IF(AND('MAPA V5 2022'!$AA$29="Media",'MAPA V5 2022'!$AC$29="Menor"),CONCATENATE("R5C",'MAPA V5 2022'!$Q$29),"")</f>
        <v/>
      </c>
      <c r="Q30" s="62" t="str">
        <f>IF(AND('MAPA V5 2022'!$AA$30="Media",'MAPA V5 2022'!$AC$30="Menor"),CONCATENATE("R5C",'MAPA V5 2022'!$Q$30),"")</f>
        <v/>
      </c>
      <c r="R30" s="62" t="str">
        <f>IF(AND('MAPA V5 2022'!$AA$31="Media",'MAPA V5 2022'!$AC$31="Menor"),CONCATENATE("R5C",'MAPA V5 2022'!$Q$31),"")</f>
        <v/>
      </c>
      <c r="S30" s="62" t="str">
        <f>IF(AND('MAPA V5 2022'!$AA$33="Media",'MAPA V5 2022'!$AC$33="Menor"),CONCATENATE("R5C",'MAPA V5 2022'!$Q$33),"")</f>
        <v/>
      </c>
      <c r="T30" s="62" t="str">
        <f>IF(AND('MAPA V5 2022'!$AA$34="Media",'MAPA V5 2022'!$AC$34="Menor"),CONCATENATE("R5C",'MAPA V5 2022'!$Q$34),"")</f>
        <v/>
      </c>
      <c r="U30" s="63" t="e">
        <f>IF(AND('MAPA V5 2022'!#REF!="Media",'MAPA V5 2022'!#REF!="Menor"),CONCATENATE("R5C",'MAPA V5 2022'!#REF!),"")</f>
        <v>#REF!</v>
      </c>
      <c r="V30" s="61" t="str">
        <f>IF(AND('MAPA V5 2022'!$AA$29="Media",'MAPA V5 2022'!$AC$29="Moderado"),CONCATENATE("R5C",'MAPA V5 2022'!$Q$29),"")</f>
        <v/>
      </c>
      <c r="W30" s="62" t="str">
        <f>IF(AND('MAPA V5 2022'!$AA$30="Media",'MAPA V5 2022'!$AC$30="Moderado"),CONCATENATE("R5C",'MAPA V5 2022'!$Q$30),"")</f>
        <v/>
      </c>
      <c r="X30" s="62" t="str">
        <f>IF(AND('MAPA V5 2022'!$AA$31="Media",'MAPA V5 2022'!$AC$31="Moderado"),CONCATENATE("R5C",'MAPA V5 2022'!$Q$31),"")</f>
        <v/>
      </c>
      <c r="Y30" s="62" t="str">
        <f>IF(AND('MAPA V5 2022'!$AA$33="Media",'MAPA V5 2022'!$AC$33="Moderado"),CONCATENATE("R5C",'MAPA V5 2022'!$Q$33),"")</f>
        <v/>
      </c>
      <c r="Z30" s="62" t="str">
        <f>IF(AND('MAPA V5 2022'!$AA$34="Media",'MAPA V5 2022'!$AC$34="Moderado"),CONCATENATE("R5C",'MAPA V5 2022'!$Q$34),"")</f>
        <v/>
      </c>
      <c r="AA30" s="63" t="e">
        <f>IF(AND('MAPA V5 2022'!#REF!="Media",'MAPA V5 2022'!#REF!="Moderado"),CONCATENATE("R5C",'MAPA V5 2022'!#REF!),"")</f>
        <v>#REF!</v>
      </c>
      <c r="AB30" s="45" t="str">
        <f>IF(AND('MAPA V5 2022'!$AA$29="Media",'MAPA V5 2022'!$AC$29="Mayor"),CONCATENATE("R5C",'MAPA V5 2022'!$Q$29),"")</f>
        <v/>
      </c>
      <c r="AC30" s="46" t="str">
        <f>IF(AND('MAPA V5 2022'!$AA$30="Media",'MAPA V5 2022'!$AC$30="Mayor"),CONCATENATE("R5C",'MAPA V5 2022'!$Q$30),"")</f>
        <v/>
      </c>
      <c r="AD30" s="51" t="str">
        <f>IF(AND('MAPA V5 2022'!$AA$31="Media",'MAPA V5 2022'!$AC$31="Mayor"),CONCATENATE("R5C",'MAPA V5 2022'!$Q$31),"")</f>
        <v>R5C1</v>
      </c>
      <c r="AE30" s="51" t="str">
        <f>IF(AND('MAPA V5 2022'!$AA$33="Media",'MAPA V5 2022'!$AC$33="Mayor"),CONCATENATE("R5C",'MAPA V5 2022'!$Q$33),"")</f>
        <v/>
      </c>
      <c r="AF30" s="51" t="str">
        <f>IF(AND('MAPA V5 2022'!$AA$34="Media",'MAPA V5 2022'!$AC$34="Mayor"),CONCATENATE("R5C",'MAPA V5 2022'!$Q$34),"")</f>
        <v>R5C1</v>
      </c>
      <c r="AG30" s="47" t="e">
        <f>IF(AND('MAPA V5 2022'!#REF!="Media",'MAPA V5 2022'!#REF!="Mayor"),CONCATENATE("R5C",'MAPA V5 2022'!#REF!),"")</f>
        <v>#REF!</v>
      </c>
      <c r="AH30" s="48" t="str">
        <f>IF(AND('MAPA V5 2022'!$AA$29="Media",'MAPA V5 2022'!$AC$29="Catastrófico"),CONCATENATE("R5C",'MAPA V5 2022'!$Q$29),"")</f>
        <v>R5C1</v>
      </c>
      <c r="AI30" s="49" t="str">
        <f>IF(AND('MAPA V5 2022'!$AA$30="Media",'MAPA V5 2022'!$AC$30="Catastrófico"),CONCATENATE("R5C",'MAPA V5 2022'!$Q$30),"")</f>
        <v/>
      </c>
      <c r="AJ30" s="49" t="str">
        <f>IF(AND('MAPA V5 2022'!$AA$31="Media",'MAPA V5 2022'!$AC$31="Catastrófico"),CONCATENATE("R5C",'MAPA V5 2022'!$Q$31),"")</f>
        <v/>
      </c>
      <c r="AK30" s="49" t="str">
        <f>IF(AND('MAPA V5 2022'!$AA$33="Media",'MAPA V5 2022'!$AC$33="Catastrófico"),CONCATENATE("R5C",'MAPA V5 2022'!$Q$33),"")</f>
        <v/>
      </c>
      <c r="AL30" s="49" t="str">
        <f>IF(AND('MAPA V5 2022'!$AA$34="Media",'MAPA V5 2022'!$AC$34="Catastrófico"),CONCATENATE("R5C",'MAPA V5 2022'!$Q$34),"")</f>
        <v/>
      </c>
      <c r="AM30" s="50" t="e">
        <f>IF(AND('MAPA V5 2022'!#REF!="Media",'MAPA V5 2022'!#REF!="Catastrófico"),CONCATENATE("R5C",'MAPA V5 2022'!#REF!),"")</f>
        <v>#REF!</v>
      </c>
      <c r="AN30" s="77"/>
      <c r="AO30" s="441"/>
      <c r="AP30" s="442"/>
      <c r="AQ30" s="442"/>
      <c r="AR30" s="442"/>
      <c r="AS30" s="442"/>
      <c r="AT30" s="443"/>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7"/>
      <c r="BX30" s="77"/>
    </row>
    <row r="31" spans="1:76" ht="15" customHeight="1" x14ac:dyDescent="0.25">
      <c r="A31" s="77"/>
      <c r="B31" s="310"/>
      <c r="C31" s="310"/>
      <c r="D31" s="311"/>
      <c r="E31" s="411"/>
      <c r="F31" s="412"/>
      <c r="G31" s="412"/>
      <c r="H31" s="412"/>
      <c r="I31" s="427"/>
      <c r="J31" s="61" t="e">
        <f>IF(AND('MAPA V5 2022'!#REF!="Media",'MAPA V5 2022'!#REF!="Leve"),CONCATENATE("R6C",'MAPA V5 2022'!#REF!),"")</f>
        <v>#REF!</v>
      </c>
      <c r="K31" s="62" t="str">
        <f>IF(AND('MAPA V5 2022'!$AA$35="Media",'MAPA V5 2022'!$AC$35="Leve"),CONCATENATE("R6C",'MAPA V5 2022'!$Q$35),"")</f>
        <v/>
      </c>
      <c r="L31" s="62" t="e">
        <f>IF(AND('MAPA V5 2022'!#REF!="Media",'MAPA V5 2022'!#REF!="Leve"),CONCATENATE("R6C",'MAPA V5 2022'!#REF!),"")</f>
        <v>#REF!</v>
      </c>
      <c r="M31" s="62" t="str">
        <f>IF(AND('MAPA V5 2022'!$AA$36="Media",'MAPA V5 2022'!$AC$36="Leve"),CONCATENATE("R6C",'MAPA V5 2022'!$Q$36),"")</f>
        <v/>
      </c>
      <c r="N31" s="62" t="str">
        <f>IF(AND('MAPA V5 2022'!$AA$37="Media",'MAPA V5 2022'!$AC$37="Leve"),CONCATENATE("R6C",'MAPA V5 2022'!$Q$37),"")</f>
        <v/>
      </c>
      <c r="O31" s="63" t="str">
        <f>IF(AND('MAPA V5 2022'!$AA$38="Media",'MAPA V5 2022'!$AC$38="Leve"),CONCATENATE("R6C",'MAPA V5 2022'!$Q$38),"")</f>
        <v/>
      </c>
      <c r="P31" s="61" t="e">
        <f>IF(AND('MAPA V5 2022'!#REF!="Media",'MAPA V5 2022'!#REF!="Menor"),CONCATENATE("R6C",'MAPA V5 2022'!#REF!),"")</f>
        <v>#REF!</v>
      </c>
      <c r="Q31" s="62" t="str">
        <f>IF(AND('MAPA V5 2022'!$AA$35="Media",'MAPA V5 2022'!$AC$35="Menor"),CONCATENATE("R6C",'MAPA V5 2022'!$Q$35),"")</f>
        <v/>
      </c>
      <c r="R31" s="62" t="e">
        <f>IF(AND('MAPA V5 2022'!#REF!="Media",'MAPA V5 2022'!#REF!="Menor"),CONCATENATE("R6C",'MAPA V5 2022'!#REF!),"")</f>
        <v>#REF!</v>
      </c>
      <c r="S31" s="62" t="str">
        <f>IF(AND('MAPA V5 2022'!$AA$36="Media",'MAPA V5 2022'!$AC$36="Menor"),CONCATENATE("R6C",'MAPA V5 2022'!$Q$36),"")</f>
        <v/>
      </c>
      <c r="T31" s="62" t="str">
        <f>IF(AND('MAPA V5 2022'!$AA$37="Media",'MAPA V5 2022'!$AC$37="Menor"),CONCATENATE("R6C",'MAPA V5 2022'!$Q$37),"")</f>
        <v/>
      </c>
      <c r="U31" s="63" t="str">
        <f>IF(AND('MAPA V5 2022'!$AA$38="Media",'MAPA V5 2022'!$AC$38="Menor"),CONCATENATE("R6C",'MAPA V5 2022'!$Q$38),"")</f>
        <v/>
      </c>
      <c r="V31" s="61" t="e">
        <f>IF(AND('MAPA V5 2022'!#REF!="Media",'MAPA V5 2022'!#REF!="Moderado"),CONCATENATE("R6C",'MAPA V5 2022'!#REF!),"")</f>
        <v>#REF!</v>
      </c>
      <c r="W31" s="62" t="str">
        <f>IF(AND('MAPA V5 2022'!$AA$35="Media",'MAPA V5 2022'!$AC$35="Moderado"),CONCATENATE("R6C",'MAPA V5 2022'!$Q$35),"")</f>
        <v/>
      </c>
      <c r="X31" s="62" t="e">
        <f>IF(AND('MAPA V5 2022'!#REF!="Media",'MAPA V5 2022'!#REF!="Moderado"),CONCATENATE("R6C",'MAPA V5 2022'!#REF!),"")</f>
        <v>#REF!</v>
      </c>
      <c r="Y31" s="62" t="str">
        <f>IF(AND('MAPA V5 2022'!$AA$36="Media",'MAPA V5 2022'!$AC$36="Moderado"),CONCATENATE("R6C",'MAPA V5 2022'!$Q$36),"")</f>
        <v>R6C1</v>
      </c>
      <c r="Z31" s="62" t="str">
        <f>IF(AND('MAPA V5 2022'!$AA$37="Media",'MAPA V5 2022'!$AC$37="Moderado"),CONCATENATE("R6C",'MAPA V5 2022'!$Q$37),"")</f>
        <v/>
      </c>
      <c r="AA31" s="63" t="str">
        <f>IF(AND('MAPA V5 2022'!$AA$38="Media",'MAPA V5 2022'!$AC$38="Moderado"),CONCATENATE("R6C",'MAPA V5 2022'!$Q$38),"")</f>
        <v/>
      </c>
      <c r="AB31" s="45" t="e">
        <f>IF(AND('MAPA V5 2022'!#REF!="Media",'MAPA V5 2022'!#REF!="Mayor"),CONCATENATE("R6C",'MAPA V5 2022'!#REF!),"")</f>
        <v>#REF!</v>
      </c>
      <c r="AC31" s="46" t="str">
        <f>IF(AND('MAPA V5 2022'!$AA$35="Media",'MAPA V5 2022'!$AC$35="Mayor"),CONCATENATE("R6C",'MAPA V5 2022'!$Q$35),"")</f>
        <v/>
      </c>
      <c r="AD31" s="51" t="e">
        <f>IF(AND('MAPA V5 2022'!#REF!="Media",'MAPA V5 2022'!#REF!="Mayor"),CONCATENATE("R6C",'MAPA V5 2022'!#REF!),"")</f>
        <v>#REF!</v>
      </c>
      <c r="AE31" s="51" t="str">
        <f>IF(AND('MAPA V5 2022'!$AA$36="Media",'MAPA V5 2022'!$AC$36="Mayor"),CONCATENATE("R6C",'MAPA V5 2022'!$Q$36),"")</f>
        <v/>
      </c>
      <c r="AF31" s="51" t="str">
        <f>IF(AND('MAPA V5 2022'!$AA$37="Media",'MAPA V5 2022'!$AC$37="Mayor"),CONCATENATE("R6C",'MAPA V5 2022'!$Q$37),"")</f>
        <v/>
      </c>
      <c r="AG31" s="47" t="str">
        <f>IF(AND('MAPA V5 2022'!$AA$38="Media",'MAPA V5 2022'!$AC$38="Mayor"),CONCATENATE("R6C",'MAPA V5 2022'!$Q$38),"")</f>
        <v/>
      </c>
      <c r="AH31" s="48" t="e">
        <f>IF(AND('MAPA V5 2022'!#REF!="Media",'MAPA V5 2022'!#REF!="Catastrófico"),CONCATENATE("R6C",'MAPA V5 2022'!#REF!),"")</f>
        <v>#REF!</v>
      </c>
      <c r="AI31" s="49" t="str">
        <f>IF(AND('MAPA V5 2022'!$AA$35="Media",'MAPA V5 2022'!$AC$35="Catastrófico"),CONCATENATE("R6C",'MAPA V5 2022'!$Q$35),"")</f>
        <v/>
      </c>
      <c r="AJ31" s="49" t="e">
        <f>IF(AND('MAPA V5 2022'!#REF!="Media",'MAPA V5 2022'!#REF!="Catastrófico"),CONCATENATE("R6C",'MAPA V5 2022'!#REF!),"")</f>
        <v>#REF!</v>
      </c>
      <c r="AK31" s="49" t="str">
        <f>IF(AND('MAPA V5 2022'!$AA$36="Media",'MAPA V5 2022'!$AC$36="Catastrófico"),CONCATENATE("R6C",'MAPA V5 2022'!$Q$36),"")</f>
        <v/>
      </c>
      <c r="AL31" s="49" t="str">
        <f>IF(AND('MAPA V5 2022'!$AA$37="Media",'MAPA V5 2022'!$AC$37="Catastrófico"),CONCATENATE("R6C",'MAPA V5 2022'!$Q$37),"")</f>
        <v/>
      </c>
      <c r="AM31" s="50" t="str">
        <f>IF(AND('MAPA V5 2022'!$AA$38="Media",'MAPA V5 2022'!$AC$38="Catastrófico"),CONCATENATE("R6C",'MAPA V5 2022'!$Q$38),"")</f>
        <v/>
      </c>
      <c r="AN31" s="77"/>
      <c r="AO31" s="441"/>
      <c r="AP31" s="442"/>
      <c r="AQ31" s="442"/>
      <c r="AR31" s="442"/>
      <c r="AS31" s="442"/>
      <c r="AT31" s="443"/>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row>
    <row r="32" spans="1:76" ht="15" customHeight="1" x14ac:dyDescent="0.25">
      <c r="A32" s="77"/>
      <c r="B32" s="310"/>
      <c r="C32" s="310"/>
      <c r="D32" s="311"/>
      <c r="E32" s="411"/>
      <c r="F32" s="412"/>
      <c r="G32" s="412"/>
      <c r="H32" s="412"/>
      <c r="I32" s="427"/>
      <c r="J32" s="61" t="e">
        <f>IF(AND('MAPA V5 2022'!#REF!="Media",'MAPA V5 2022'!#REF!="Leve"),CONCATENATE("R7C",'MAPA V5 2022'!#REF!),"")</f>
        <v>#REF!</v>
      </c>
      <c r="K32" s="62" t="str">
        <f>IF(AND('MAPA V5 2022'!$AA$39="Media",'MAPA V5 2022'!$AC$39="Leve"),CONCATENATE("R7C",'MAPA V5 2022'!$Q$39),"")</f>
        <v/>
      </c>
      <c r="L32" s="62" t="str">
        <f>IF(AND('MAPA V5 2022'!$AA$40="Media",'MAPA V5 2022'!$AC$40="Leve"),CONCATENATE("R7C",'MAPA V5 2022'!$Q$40),"")</f>
        <v/>
      </c>
      <c r="M32" s="62" t="e">
        <f>IF(AND('MAPA V5 2022'!#REF!="Media",'MAPA V5 2022'!#REF!="Leve"),CONCATENATE("R7C",'MAPA V5 2022'!#REF!),"")</f>
        <v>#REF!</v>
      </c>
      <c r="N32" s="62" t="str">
        <f>IF(AND('MAPA V5 2022'!$AA$41="Media",'MAPA V5 2022'!$AC$41="Leve"),CONCATENATE("R7C",'MAPA V5 2022'!$Q$41),"")</f>
        <v/>
      </c>
      <c r="O32" s="63" t="e">
        <f>IF(AND('MAPA V5 2022'!#REF!="Media",'MAPA V5 2022'!#REF!="Leve"),CONCATENATE("R7C",'MAPA V5 2022'!#REF!),"")</f>
        <v>#REF!</v>
      </c>
      <c r="P32" s="61" t="e">
        <f>IF(AND('MAPA V5 2022'!#REF!="Media",'MAPA V5 2022'!#REF!="Menor"),CONCATENATE("R7C",'MAPA V5 2022'!#REF!),"")</f>
        <v>#REF!</v>
      </c>
      <c r="Q32" s="62" t="str">
        <f>IF(AND('MAPA V5 2022'!$AA$39="Media",'MAPA V5 2022'!$AC$39="Menor"),CONCATENATE("R7C",'MAPA V5 2022'!$Q$39),"")</f>
        <v/>
      </c>
      <c r="R32" s="62" t="str">
        <f>IF(AND('MAPA V5 2022'!$AA$40="Media",'MAPA V5 2022'!$AC$40="Menor"),CONCATENATE("R7C",'MAPA V5 2022'!$Q$40),"")</f>
        <v/>
      </c>
      <c r="S32" s="62" t="e">
        <f>IF(AND('MAPA V5 2022'!#REF!="Media",'MAPA V5 2022'!#REF!="Menor"),CONCATENATE("R7C",'MAPA V5 2022'!#REF!),"")</f>
        <v>#REF!</v>
      </c>
      <c r="T32" s="62" t="str">
        <f>IF(AND('MAPA V5 2022'!$AA$41="Media",'MAPA V5 2022'!$AC$41="Menor"),CONCATENATE("R7C",'MAPA V5 2022'!$Q$41),"")</f>
        <v/>
      </c>
      <c r="U32" s="63" t="e">
        <f>IF(AND('MAPA V5 2022'!#REF!="Media",'MAPA V5 2022'!#REF!="Menor"),CONCATENATE("R7C",'MAPA V5 2022'!#REF!),"")</f>
        <v>#REF!</v>
      </c>
      <c r="V32" s="61" t="e">
        <f>IF(AND('MAPA V5 2022'!#REF!="Media",'MAPA V5 2022'!#REF!="Moderado"),CONCATENATE("R7C",'MAPA V5 2022'!#REF!),"")</f>
        <v>#REF!</v>
      </c>
      <c r="W32" s="62" t="str">
        <f>IF(AND('MAPA V5 2022'!$AA$39="Media",'MAPA V5 2022'!$AC$39="Moderado"),CONCATENATE("R7C",'MAPA V5 2022'!$Q$39),"")</f>
        <v>R7C1</v>
      </c>
      <c r="X32" s="62" t="str">
        <f>IF(AND('MAPA V5 2022'!$AA$40="Media",'MAPA V5 2022'!$AC$40="Moderado"),CONCATENATE("R7C",'MAPA V5 2022'!$Q$40),"")</f>
        <v/>
      </c>
      <c r="Y32" s="62" t="e">
        <f>IF(AND('MAPA V5 2022'!#REF!="Media",'MAPA V5 2022'!#REF!="Moderado"),CONCATENATE("R7C",'MAPA V5 2022'!#REF!),"")</f>
        <v>#REF!</v>
      </c>
      <c r="Z32" s="62" t="str">
        <f>IF(AND('MAPA V5 2022'!$AA$41="Media",'MAPA V5 2022'!$AC$41="Moderado"),CONCATENATE("R7C",'MAPA V5 2022'!$Q$41),"")</f>
        <v/>
      </c>
      <c r="AA32" s="63" t="e">
        <f>IF(AND('MAPA V5 2022'!#REF!="Media",'MAPA V5 2022'!#REF!="Moderado"),CONCATENATE("R7C",'MAPA V5 2022'!#REF!),"")</f>
        <v>#REF!</v>
      </c>
      <c r="AB32" s="45" t="e">
        <f>IF(AND('MAPA V5 2022'!#REF!="Media",'MAPA V5 2022'!#REF!="Mayor"),CONCATENATE("R7C",'MAPA V5 2022'!#REF!),"")</f>
        <v>#REF!</v>
      </c>
      <c r="AC32" s="46" t="str">
        <f>IF(AND('MAPA V5 2022'!$AA$39="Media",'MAPA V5 2022'!$AC$39="Mayor"),CONCATENATE("R7C",'MAPA V5 2022'!$Q$39),"")</f>
        <v/>
      </c>
      <c r="AD32" s="51" t="str">
        <f>IF(AND('MAPA V5 2022'!$AA$40="Media",'MAPA V5 2022'!$AC$40="Mayor"),CONCATENATE("R7C",'MAPA V5 2022'!$Q$40),"")</f>
        <v/>
      </c>
      <c r="AE32" s="51" t="e">
        <f>IF(AND('MAPA V5 2022'!#REF!="Media",'MAPA V5 2022'!#REF!="Mayor"),CONCATENATE("R7C",'MAPA V5 2022'!#REF!),"")</f>
        <v>#REF!</v>
      </c>
      <c r="AF32" s="51" t="str">
        <f>IF(AND('MAPA V5 2022'!$AA$41="Media",'MAPA V5 2022'!$AC$41="Mayor"),CONCATENATE("R7C",'MAPA V5 2022'!$Q$41),"")</f>
        <v/>
      </c>
      <c r="AG32" s="47" t="e">
        <f>IF(AND('MAPA V5 2022'!#REF!="Media",'MAPA V5 2022'!#REF!="Mayor"),CONCATENATE("R7C",'MAPA V5 2022'!#REF!),"")</f>
        <v>#REF!</v>
      </c>
      <c r="AH32" s="48" t="e">
        <f>IF(AND('MAPA V5 2022'!#REF!="Media",'MAPA V5 2022'!#REF!="Catastrófico"),CONCATENATE("R7C",'MAPA V5 2022'!#REF!),"")</f>
        <v>#REF!</v>
      </c>
      <c r="AI32" s="49" t="str">
        <f>IF(AND('MAPA V5 2022'!$AA$39="Media",'MAPA V5 2022'!$AC$39="Catastrófico"),CONCATENATE("R7C",'MAPA V5 2022'!$Q$39),"")</f>
        <v/>
      </c>
      <c r="AJ32" s="49" t="str">
        <f>IF(AND('MAPA V5 2022'!$AA$40="Media",'MAPA V5 2022'!$AC$40="Catastrófico"),CONCATENATE("R7C",'MAPA V5 2022'!$Q$40),"")</f>
        <v/>
      </c>
      <c r="AK32" s="49" t="e">
        <f>IF(AND('MAPA V5 2022'!#REF!="Media",'MAPA V5 2022'!#REF!="Catastrófico"),CONCATENATE("R7C",'MAPA V5 2022'!#REF!),"")</f>
        <v>#REF!</v>
      </c>
      <c r="AL32" s="49" t="str">
        <f>IF(AND('MAPA V5 2022'!$AA$41="Media",'MAPA V5 2022'!$AC$41="Catastrófico"),CONCATENATE("R7C",'MAPA V5 2022'!$Q$41),"")</f>
        <v/>
      </c>
      <c r="AM32" s="50" t="e">
        <f>IF(AND('MAPA V5 2022'!#REF!="Media",'MAPA V5 2022'!#REF!="Catastrófico"),CONCATENATE("R7C",'MAPA V5 2022'!#REF!),"")</f>
        <v>#REF!</v>
      </c>
      <c r="AN32" s="77"/>
      <c r="AO32" s="441"/>
      <c r="AP32" s="442"/>
      <c r="AQ32" s="442"/>
      <c r="AR32" s="442"/>
      <c r="AS32" s="442"/>
      <c r="AT32" s="443"/>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row>
    <row r="33" spans="1:80" ht="15" customHeight="1" x14ac:dyDescent="0.25">
      <c r="A33" s="77"/>
      <c r="B33" s="310"/>
      <c r="C33" s="310"/>
      <c r="D33" s="311"/>
      <c r="E33" s="411"/>
      <c r="F33" s="412"/>
      <c r="G33" s="412"/>
      <c r="H33" s="412"/>
      <c r="I33" s="427"/>
      <c r="J33" s="61" t="e">
        <f>IF(AND('MAPA V5 2022'!#REF!="Media",'MAPA V5 2022'!#REF!="Leve"),CONCATENATE("R8C",'MAPA V5 2022'!#REF!),"")</f>
        <v>#REF!</v>
      </c>
      <c r="K33" s="62" t="e">
        <f>IF(AND('MAPA V5 2022'!#REF!="Media",'MAPA V5 2022'!#REF!="Leve"),CONCATENATE("R8C",'MAPA V5 2022'!#REF!),"")</f>
        <v>#REF!</v>
      </c>
      <c r="L33" s="62" t="str">
        <f>IF(AND('MAPA V5 2022'!$AA$42="Media",'MAPA V5 2022'!$AC$42="Leve"),CONCATENATE("R8C",'MAPA V5 2022'!$Q$42),"")</f>
        <v/>
      </c>
      <c r="M33" s="62" t="str">
        <f>IF(AND('MAPA V5 2022'!$AA$43="Media",'MAPA V5 2022'!$AC$43="Leve"),CONCATENATE("R8C",'MAPA V5 2022'!$Q$43),"")</f>
        <v/>
      </c>
      <c r="N33" s="62" t="e">
        <f>IF(AND('MAPA V5 2022'!#REF!="Media",'MAPA V5 2022'!#REF!="Leve"),CONCATENATE("R8C",'MAPA V5 2022'!#REF!),"")</f>
        <v>#REF!</v>
      </c>
      <c r="O33" s="63" t="e">
        <f>IF(AND('MAPA V5 2022'!#REF!="Media",'MAPA V5 2022'!#REF!="Leve"),CONCATENATE("R8C",'MAPA V5 2022'!#REF!),"")</f>
        <v>#REF!</v>
      </c>
      <c r="P33" s="61" t="e">
        <f>IF(AND('MAPA V5 2022'!#REF!="Media",'MAPA V5 2022'!#REF!="Menor"),CONCATENATE("R8C",'MAPA V5 2022'!#REF!),"")</f>
        <v>#REF!</v>
      </c>
      <c r="Q33" s="62" t="e">
        <f>IF(AND('MAPA V5 2022'!#REF!="Media",'MAPA V5 2022'!#REF!="Menor"),CONCATENATE("R8C",'MAPA V5 2022'!#REF!),"")</f>
        <v>#REF!</v>
      </c>
      <c r="R33" s="62" t="str">
        <f>IF(AND('MAPA V5 2022'!$AA$42="Media",'MAPA V5 2022'!$AC$42="Menor"),CONCATENATE("R8C",'MAPA V5 2022'!$Q$42),"")</f>
        <v/>
      </c>
      <c r="S33" s="62" t="str">
        <f>IF(AND('MAPA V5 2022'!$AA$43="Media",'MAPA V5 2022'!$AC$43="Menor"),CONCATENATE("R8C",'MAPA V5 2022'!$Q$43),"")</f>
        <v/>
      </c>
      <c r="T33" s="62" t="e">
        <f>IF(AND('MAPA V5 2022'!#REF!="Media",'MAPA V5 2022'!#REF!="Menor"),CONCATENATE("R8C",'MAPA V5 2022'!#REF!),"")</f>
        <v>#REF!</v>
      </c>
      <c r="U33" s="63" t="e">
        <f>IF(AND('MAPA V5 2022'!#REF!="Media",'MAPA V5 2022'!#REF!="Menor"),CONCATENATE("R8C",'MAPA V5 2022'!#REF!),"")</f>
        <v>#REF!</v>
      </c>
      <c r="V33" s="61" t="e">
        <f>IF(AND('MAPA V5 2022'!#REF!="Media",'MAPA V5 2022'!#REF!="Moderado"),CONCATENATE("R8C",'MAPA V5 2022'!#REF!),"")</f>
        <v>#REF!</v>
      </c>
      <c r="W33" s="62" t="e">
        <f>IF(AND('MAPA V5 2022'!#REF!="Media",'MAPA V5 2022'!#REF!="Moderado"),CONCATENATE("R8C",'MAPA V5 2022'!#REF!),"")</f>
        <v>#REF!</v>
      </c>
      <c r="X33" s="62" t="str">
        <f>IF(AND('MAPA V5 2022'!$AA$42="Media",'MAPA V5 2022'!$AC$42="Moderado"),CONCATENATE("R8C",'MAPA V5 2022'!$Q$42),"")</f>
        <v/>
      </c>
      <c r="Y33" s="62" t="str">
        <f>IF(AND('MAPA V5 2022'!$AA$43="Media",'MAPA V5 2022'!$AC$43="Moderado"),CONCATENATE("R8C",'MAPA V5 2022'!$Q$43),"")</f>
        <v/>
      </c>
      <c r="Z33" s="62" t="e">
        <f>IF(AND('MAPA V5 2022'!#REF!="Media",'MAPA V5 2022'!#REF!="Moderado"),CONCATENATE("R8C",'MAPA V5 2022'!#REF!),"")</f>
        <v>#REF!</v>
      </c>
      <c r="AA33" s="63" t="e">
        <f>IF(AND('MAPA V5 2022'!#REF!="Media",'MAPA V5 2022'!#REF!="Moderado"),CONCATENATE("R8C",'MAPA V5 2022'!#REF!),"")</f>
        <v>#REF!</v>
      </c>
      <c r="AB33" s="45" t="e">
        <f>IF(AND('MAPA V5 2022'!#REF!="Media",'MAPA V5 2022'!#REF!="Mayor"),CONCATENATE("R8C",'MAPA V5 2022'!#REF!),"")</f>
        <v>#REF!</v>
      </c>
      <c r="AC33" s="46" t="e">
        <f>IF(AND('MAPA V5 2022'!#REF!="Media",'MAPA V5 2022'!#REF!="Mayor"),CONCATENATE("R8C",'MAPA V5 2022'!#REF!),"")</f>
        <v>#REF!</v>
      </c>
      <c r="AD33" s="51" t="str">
        <f>IF(AND('MAPA V5 2022'!$AA$42="Media",'MAPA V5 2022'!$AC$42="Mayor"),CONCATENATE("R8C",'MAPA V5 2022'!$Q$42),"")</f>
        <v/>
      </c>
      <c r="AE33" s="51" t="str">
        <f>IF(AND('MAPA V5 2022'!$AA$43="Media",'MAPA V5 2022'!$AC$43="Mayor"),CONCATENATE("R8C",'MAPA V5 2022'!$Q$43),"")</f>
        <v>R8C1</v>
      </c>
      <c r="AF33" s="51" t="e">
        <f>IF(AND('MAPA V5 2022'!#REF!="Media",'MAPA V5 2022'!#REF!="Mayor"),CONCATENATE("R8C",'MAPA V5 2022'!#REF!),"")</f>
        <v>#REF!</v>
      </c>
      <c r="AG33" s="47" t="e">
        <f>IF(AND('MAPA V5 2022'!#REF!="Media",'MAPA V5 2022'!#REF!="Mayor"),CONCATENATE("R8C",'MAPA V5 2022'!#REF!),"")</f>
        <v>#REF!</v>
      </c>
      <c r="AH33" s="48" t="e">
        <f>IF(AND('MAPA V5 2022'!#REF!="Media",'MAPA V5 2022'!#REF!="Catastrófico"),CONCATENATE("R8C",'MAPA V5 2022'!#REF!),"")</f>
        <v>#REF!</v>
      </c>
      <c r="AI33" s="49" t="e">
        <f>IF(AND('MAPA V5 2022'!#REF!="Media",'MAPA V5 2022'!#REF!="Catastrófico"),CONCATENATE("R8C",'MAPA V5 2022'!#REF!),"")</f>
        <v>#REF!</v>
      </c>
      <c r="AJ33" s="49" t="str">
        <f>IF(AND('MAPA V5 2022'!$AA$42="Media",'MAPA V5 2022'!$AC$42="Catastrófico"),CONCATENATE("R8C",'MAPA V5 2022'!$Q$42),"")</f>
        <v/>
      </c>
      <c r="AK33" s="49" t="str">
        <f>IF(AND('MAPA V5 2022'!$AA$43="Media",'MAPA V5 2022'!$AC$43="Catastrófico"),CONCATENATE("R8C",'MAPA V5 2022'!$Q$43),"")</f>
        <v/>
      </c>
      <c r="AL33" s="49" t="e">
        <f>IF(AND('MAPA V5 2022'!#REF!="Media",'MAPA V5 2022'!#REF!="Catastrófico"),CONCATENATE("R8C",'MAPA V5 2022'!#REF!),"")</f>
        <v>#REF!</v>
      </c>
      <c r="AM33" s="50" t="e">
        <f>IF(AND('MAPA V5 2022'!#REF!="Media",'MAPA V5 2022'!#REF!="Catastrófico"),CONCATENATE("R8C",'MAPA V5 2022'!#REF!),"")</f>
        <v>#REF!</v>
      </c>
      <c r="AN33" s="77"/>
      <c r="AO33" s="441"/>
      <c r="AP33" s="442"/>
      <c r="AQ33" s="442"/>
      <c r="AR33" s="442"/>
      <c r="AS33" s="442"/>
      <c r="AT33" s="443"/>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row>
    <row r="34" spans="1:80" ht="15" customHeight="1" x14ac:dyDescent="0.25">
      <c r="A34" s="77"/>
      <c r="B34" s="310"/>
      <c r="C34" s="310"/>
      <c r="D34" s="311"/>
      <c r="E34" s="411"/>
      <c r="F34" s="412"/>
      <c r="G34" s="412"/>
      <c r="H34" s="412"/>
      <c r="I34" s="427"/>
      <c r="J34" s="61" t="str">
        <f>IF(AND('MAPA V5 2022'!$AA$44="Media",'MAPA V5 2022'!$AC$44="Leve"),CONCATENATE("R9C",'MAPA V5 2022'!$Q$44),"")</f>
        <v/>
      </c>
      <c r="K34" s="62" t="str">
        <f>IF(AND('MAPA V5 2022'!$AA$45="Media",'MAPA V5 2022'!$AC$45="Leve"),CONCATENATE("R9C",'MAPA V5 2022'!$Q$45),"")</f>
        <v/>
      </c>
      <c r="L34" s="62" t="e">
        <f>IF(AND('MAPA V5 2022'!#REF!="Media",'MAPA V5 2022'!#REF!="Leve"),CONCATENATE("R9C",'MAPA V5 2022'!#REF!),"")</f>
        <v>#REF!</v>
      </c>
      <c r="M34" s="62" t="e">
        <f>IF(AND('MAPA V5 2022'!#REF!="Media",'MAPA V5 2022'!#REF!="Leve"),CONCATENATE("R9C",'MAPA V5 2022'!#REF!),"")</f>
        <v>#REF!</v>
      </c>
      <c r="N34" s="62" t="str">
        <f>IF(AND('MAPA V5 2022'!$AA$46="Media",'MAPA V5 2022'!$AC$46="Leve"),CONCATENATE("R9C",'MAPA V5 2022'!$Q$46),"")</f>
        <v/>
      </c>
      <c r="O34" s="63" t="e">
        <f>IF(AND('MAPA V5 2022'!#REF!="Media",'MAPA V5 2022'!#REF!="Leve"),CONCATENATE("R9C",'MAPA V5 2022'!#REF!),"")</f>
        <v>#REF!</v>
      </c>
      <c r="P34" s="61" t="str">
        <f>IF(AND('MAPA V5 2022'!$AA$44="Media",'MAPA V5 2022'!$AC$44="Menor"),CONCATENATE("R9C",'MAPA V5 2022'!$Q$44),"")</f>
        <v/>
      </c>
      <c r="Q34" s="62" t="str">
        <f>IF(AND('MAPA V5 2022'!$AA$45="Media",'MAPA V5 2022'!$AC$45="Menor"),CONCATENATE("R9C",'MAPA V5 2022'!$Q$45),"")</f>
        <v/>
      </c>
      <c r="R34" s="62" t="e">
        <f>IF(AND('MAPA V5 2022'!#REF!="Media",'MAPA V5 2022'!#REF!="Menor"),CONCATENATE("R9C",'MAPA V5 2022'!#REF!),"")</f>
        <v>#REF!</v>
      </c>
      <c r="S34" s="62" t="e">
        <f>IF(AND('MAPA V5 2022'!#REF!="Media",'MAPA V5 2022'!#REF!="Menor"),CONCATENATE("R9C",'MAPA V5 2022'!#REF!),"")</f>
        <v>#REF!</v>
      </c>
      <c r="T34" s="62" t="str">
        <f>IF(AND('MAPA V5 2022'!$AA$46="Media",'MAPA V5 2022'!$AC$46="Menor"),CONCATENATE("R9C",'MAPA V5 2022'!$Q$46),"")</f>
        <v/>
      </c>
      <c r="U34" s="63" t="e">
        <f>IF(AND('MAPA V5 2022'!#REF!="Media",'MAPA V5 2022'!#REF!="Menor"),CONCATENATE("R9C",'MAPA V5 2022'!#REF!),"")</f>
        <v>#REF!</v>
      </c>
      <c r="V34" s="61" t="str">
        <f>IF(AND('MAPA V5 2022'!$AA$44="Media",'MAPA V5 2022'!$AC$44="Moderado"),CONCATENATE("R9C",'MAPA V5 2022'!$Q$44),"")</f>
        <v/>
      </c>
      <c r="W34" s="62" t="str">
        <f>IF(AND('MAPA V5 2022'!$AA$45="Media",'MAPA V5 2022'!$AC$45="Moderado"),CONCATENATE("R9C",'MAPA V5 2022'!$Q$45),"")</f>
        <v/>
      </c>
      <c r="X34" s="62" t="e">
        <f>IF(AND('MAPA V5 2022'!#REF!="Media",'MAPA V5 2022'!#REF!="Moderado"),CONCATENATE("R9C",'MAPA V5 2022'!#REF!),"")</f>
        <v>#REF!</v>
      </c>
      <c r="Y34" s="62" t="e">
        <f>IF(AND('MAPA V5 2022'!#REF!="Media",'MAPA V5 2022'!#REF!="Moderado"),CONCATENATE("R9C",'MAPA V5 2022'!#REF!),"")</f>
        <v>#REF!</v>
      </c>
      <c r="Z34" s="62" t="str">
        <f>IF(AND('MAPA V5 2022'!$AA$46="Media",'MAPA V5 2022'!$AC$46="Moderado"),CONCATENATE("R9C",'MAPA V5 2022'!$Q$46),"")</f>
        <v/>
      </c>
      <c r="AA34" s="63" t="e">
        <f>IF(AND('MAPA V5 2022'!#REF!="Media",'MAPA V5 2022'!#REF!="Moderado"),CONCATENATE("R9C",'MAPA V5 2022'!#REF!),"")</f>
        <v>#REF!</v>
      </c>
      <c r="AB34" s="45" t="str">
        <f>IF(AND('MAPA V5 2022'!$AA$44="Media",'MAPA V5 2022'!$AC$44="Mayor"),CONCATENATE("R9C",'MAPA V5 2022'!$Q$44),"")</f>
        <v/>
      </c>
      <c r="AC34" s="46" t="str">
        <f>IF(AND('MAPA V5 2022'!$AA$45="Media",'MAPA V5 2022'!$AC$45="Mayor"),CONCATENATE("R9C",'MAPA V5 2022'!$Q$45),"")</f>
        <v/>
      </c>
      <c r="AD34" s="51" t="e">
        <f>IF(AND('MAPA V5 2022'!#REF!="Media",'MAPA V5 2022'!#REF!="Mayor"),CONCATENATE("R9C",'MAPA V5 2022'!#REF!),"")</f>
        <v>#REF!</v>
      </c>
      <c r="AE34" s="51" t="e">
        <f>IF(AND('MAPA V5 2022'!#REF!="Media",'MAPA V5 2022'!#REF!="Mayor"),CONCATENATE("R9C",'MAPA V5 2022'!#REF!),"")</f>
        <v>#REF!</v>
      </c>
      <c r="AF34" s="51" t="str">
        <f>IF(AND('MAPA V5 2022'!$AA$46="Media",'MAPA V5 2022'!$AC$46="Mayor"),CONCATENATE("R9C",'MAPA V5 2022'!$Q$46),"")</f>
        <v/>
      </c>
      <c r="AG34" s="47" t="e">
        <f>IF(AND('MAPA V5 2022'!#REF!="Media",'MAPA V5 2022'!#REF!="Mayor"),CONCATENATE("R9C",'MAPA V5 2022'!#REF!),"")</f>
        <v>#REF!</v>
      </c>
      <c r="AH34" s="48" t="str">
        <f>IF(AND('MAPA V5 2022'!$AA$44="Media",'MAPA V5 2022'!$AC$44="Catastrófico"),CONCATENATE("R9C",'MAPA V5 2022'!$Q$44),"")</f>
        <v/>
      </c>
      <c r="AI34" s="49" t="str">
        <f>IF(AND('MAPA V5 2022'!$AA$45="Media",'MAPA V5 2022'!$AC$45="Catastrófico"),CONCATENATE("R9C",'MAPA V5 2022'!$Q$45),"")</f>
        <v/>
      </c>
      <c r="AJ34" s="49" t="e">
        <f>IF(AND('MAPA V5 2022'!#REF!="Media",'MAPA V5 2022'!#REF!="Catastrófico"),CONCATENATE("R9C",'MAPA V5 2022'!#REF!),"")</f>
        <v>#REF!</v>
      </c>
      <c r="AK34" s="49" t="e">
        <f>IF(AND('MAPA V5 2022'!#REF!="Media",'MAPA V5 2022'!#REF!="Catastrófico"),CONCATENATE("R9C",'MAPA V5 2022'!#REF!),"")</f>
        <v>#REF!</v>
      </c>
      <c r="AL34" s="49" t="str">
        <f>IF(AND('MAPA V5 2022'!$AA$46="Media",'MAPA V5 2022'!$AC$46="Catastrófico"),CONCATENATE("R9C",'MAPA V5 2022'!$Q$46),"")</f>
        <v/>
      </c>
      <c r="AM34" s="50" t="e">
        <f>IF(AND('MAPA V5 2022'!#REF!="Media",'MAPA V5 2022'!#REF!="Catastrófico"),CONCATENATE("R9C",'MAPA V5 2022'!#REF!),"")</f>
        <v>#REF!</v>
      </c>
      <c r="AN34" s="77"/>
      <c r="AO34" s="441"/>
      <c r="AP34" s="442"/>
      <c r="AQ34" s="442"/>
      <c r="AR34" s="442"/>
      <c r="AS34" s="442"/>
      <c r="AT34" s="443"/>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row>
    <row r="35" spans="1:80" ht="15.75" customHeight="1" thickBot="1" x14ac:dyDescent="0.3">
      <c r="A35" s="77"/>
      <c r="B35" s="310"/>
      <c r="C35" s="310"/>
      <c r="D35" s="311"/>
      <c r="E35" s="413"/>
      <c r="F35" s="414"/>
      <c r="G35" s="414"/>
      <c r="H35" s="414"/>
      <c r="I35" s="428"/>
      <c r="J35" s="61" t="e">
        <f>IF(AND('MAPA V5 2022'!#REF!="Media",'MAPA V5 2022'!#REF!="Leve"),CONCATENATE("R10C",'MAPA V5 2022'!#REF!),"")</f>
        <v>#REF!</v>
      </c>
      <c r="K35" s="62" t="str">
        <f>IF(AND('MAPA V5 2022'!$AA$48="Media",'MAPA V5 2022'!$AC$48="Leve"),CONCATENATE("R10C",'MAPA V5 2022'!$Q$48),"")</f>
        <v/>
      </c>
      <c r="L35" s="62" t="str">
        <f>IF(AND('MAPA V5 2022'!$AA$51="Media",'MAPA V5 2022'!$AC$51="Leve"),CONCATENATE("R10C",'MAPA V5 2022'!$Q$51),"")</f>
        <v/>
      </c>
      <c r="M35" s="62" t="e">
        <f>IF(AND('MAPA V5 2022'!#REF!="Media",'MAPA V5 2022'!#REF!="Leve"),CONCATENATE("R10C",'MAPA V5 2022'!#REF!),"")</f>
        <v>#REF!</v>
      </c>
      <c r="N35" s="62" t="e">
        <f>IF(AND('MAPA V5 2022'!#REF!="Media",'MAPA V5 2022'!#REF!="Leve"),CONCATENATE("R10C",'MAPA V5 2022'!#REF!),"")</f>
        <v>#REF!</v>
      </c>
      <c r="O35" s="63" t="e">
        <f>IF(AND('MAPA V5 2022'!#REF!="Media",'MAPA V5 2022'!#REF!="Leve"),CONCATENATE("R10C",'MAPA V5 2022'!#REF!),"")</f>
        <v>#REF!</v>
      </c>
      <c r="P35" s="61" t="e">
        <f>IF(AND('MAPA V5 2022'!#REF!="Media",'MAPA V5 2022'!#REF!="Menor"),CONCATENATE("R10C",'MAPA V5 2022'!#REF!),"")</f>
        <v>#REF!</v>
      </c>
      <c r="Q35" s="62" t="str">
        <f>IF(AND('MAPA V5 2022'!$AA$48="Media",'MAPA V5 2022'!$AC$48="Menor"),CONCATENATE("R10C",'MAPA V5 2022'!$Q$48),"")</f>
        <v/>
      </c>
      <c r="R35" s="62" t="str">
        <f>IF(AND('MAPA V5 2022'!$AA$51="Media",'MAPA V5 2022'!$AC$51="Menor"),CONCATENATE("R10C",'MAPA V5 2022'!$Q$51),"")</f>
        <v/>
      </c>
      <c r="S35" s="62" t="e">
        <f>IF(AND('MAPA V5 2022'!#REF!="Media",'MAPA V5 2022'!#REF!="Menor"),CONCATENATE("R10C",'MAPA V5 2022'!#REF!),"")</f>
        <v>#REF!</v>
      </c>
      <c r="T35" s="62" t="e">
        <f>IF(AND('MAPA V5 2022'!#REF!="Media",'MAPA V5 2022'!#REF!="Menor"),CONCATENATE("R10C",'MAPA V5 2022'!#REF!),"")</f>
        <v>#REF!</v>
      </c>
      <c r="U35" s="63" t="e">
        <f>IF(AND('MAPA V5 2022'!#REF!="Media",'MAPA V5 2022'!#REF!="Menor"),CONCATENATE("R10C",'MAPA V5 2022'!#REF!),"")</f>
        <v>#REF!</v>
      </c>
      <c r="V35" s="61" t="e">
        <f>IF(AND('MAPA V5 2022'!#REF!="Media",'MAPA V5 2022'!#REF!="Moderado"),CONCATENATE("R10C",'MAPA V5 2022'!#REF!),"")</f>
        <v>#REF!</v>
      </c>
      <c r="W35" s="62" t="str">
        <f>IF(AND('MAPA V5 2022'!$AA$48="Media",'MAPA V5 2022'!$AC$48="Moderado"),CONCATENATE("R10C",'MAPA V5 2022'!$Q$48),"")</f>
        <v/>
      </c>
      <c r="X35" s="62" t="str">
        <f>IF(AND('MAPA V5 2022'!$AA$51="Media",'MAPA V5 2022'!$AC$51="Moderado"),CONCATENATE("R10C",'MAPA V5 2022'!$Q$51),"")</f>
        <v/>
      </c>
      <c r="Y35" s="62" t="e">
        <f>IF(AND('MAPA V5 2022'!#REF!="Media",'MAPA V5 2022'!#REF!="Moderado"),CONCATENATE("R10C",'MAPA V5 2022'!#REF!),"")</f>
        <v>#REF!</v>
      </c>
      <c r="Z35" s="62" t="e">
        <f>IF(AND('MAPA V5 2022'!#REF!="Media",'MAPA V5 2022'!#REF!="Moderado"),CONCATENATE("R10C",'MAPA V5 2022'!#REF!),"")</f>
        <v>#REF!</v>
      </c>
      <c r="AA35" s="63" t="e">
        <f>IF(AND('MAPA V5 2022'!#REF!="Media",'MAPA V5 2022'!#REF!="Moderado"),CONCATENATE("R10C",'MAPA V5 2022'!#REF!),"")</f>
        <v>#REF!</v>
      </c>
      <c r="AB35" s="52" t="e">
        <f>IF(AND('MAPA V5 2022'!#REF!="Media",'MAPA V5 2022'!#REF!="Mayor"),CONCATENATE("R10C",'MAPA V5 2022'!#REF!),"")</f>
        <v>#REF!</v>
      </c>
      <c r="AC35" s="53" t="str">
        <f>IF(AND('MAPA V5 2022'!$AA$48="Media",'MAPA V5 2022'!$AC$48="Mayor"),CONCATENATE("R10C",'MAPA V5 2022'!$Q$48),"")</f>
        <v/>
      </c>
      <c r="AD35" s="53" t="str">
        <f>IF(AND('MAPA V5 2022'!$AA$51="Media",'MAPA V5 2022'!$AC$51="Mayor"),CONCATENATE("R10C",'MAPA V5 2022'!$Q$51),"")</f>
        <v/>
      </c>
      <c r="AE35" s="53" t="e">
        <f>IF(AND('MAPA V5 2022'!#REF!="Media",'MAPA V5 2022'!#REF!="Mayor"),CONCATENATE("R10C",'MAPA V5 2022'!#REF!),"")</f>
        <v>#REF!</v>
      </c>
      <c r="AF35" s="53" t="e">
        <f>IF(AND('MAPA V5 2022'!#REF!="Media",'MAPA V5 2022'!#REF!="Mayor"),CONCATENATE("R10C",'MAPA V5 2022'!#REF!),"")</f>
        <v>#REF!</v>
      </c>
      <c r="AG35" s="54" t="e">
        <f>IF(AND('MAPA V5 2022'!#REF!="Media",'MAPA V5 2022'!#REF!="Mayor"),CONCATENATE("R10C",'MAPA V5 2022'!#REF!),"")</f>
        <v>#REF!</v>
      </c>
      <c r="AH35" s="55" t="e">
        <f>IF(AND('MAPA V5 2022'!#REF!="Media",'MAPA V5 2022'!#REF!="Catastrófico"),CONCATENATE("R10C",'MAPA V5 2022'!#REF!),"")</f>
        <v>#REF!</v>
      </c>
      <c r="AI35" s="56" t="str">
        <f>IF(AND('MAPA V5 2022'!$AA$48="Media",'MAPA V5 2022'!$AC$48="Catastrófico"),CONCATENATE("R10C",'MAPA V5 2022'!$Q$48),"")</f>
        <v/>
      </c>
      <c r="AJ35" s="56" t="str">
        <f>IF(AND('MAPA V5 2022'!$AA$51="Media",'MAPA V5 2022'!$AC$51="Catastrófico"),CONCATENATE("R10C",'MAPA V5 2022'!$Q$51),"")</f>
        <v/>
      </c>
      <c r="AK35" s="56" t="e">
        <f>IF(AND('MAPA V5 2022'!#REF!="Media",'MAPA V5 2022'!#REF!="Catastrófico"),CONCATENATE("R10C",'MAPA V5 2022'!#REF!),"")</f>
        <v>#REF!</v>
      </c>
      <c r="AL35" s="56" t="e">
        <f>IF(AND('MAPA V5 2022'!#REF!="Media",'MAPA V5 2022'!#REF!="Catastrófico"),CONCATENATE("R10C",'MAPA V5 2022'!#REF!),"")</f>
        <v>#REF!</v>
      </c>
      <c r="AM35" s="57" t="e">
        <f>IF(AND('MAPA V5 2022'!#REF!="Media",'MAPA V5 2022'!#REF!="Catastrófico"),CONCATENATE("R10C",'MAPA V5 2022'!#REF!),"")</f>
        <v>#REF!</v>
      </c>
      <c r="AN35" s="77"/>
      <c r="AO35" s="444"/>
      <c r="AP35" s="445"/>
      <c r="AQ35" s="445"/>
      <c r="AR35" s="445"/>
      <c r="AS35" s="445"/>
      <c r="AT35" s="446"/>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row>
    <row r="36" spans="1:80" ht="15" customHeight="1" x14ac:dyDescent="0.25">
      <c r="A36" s="77"/>
      <c r="B36" s="310"/>
      <c r="C36" s="310"/>
      <c r="D36" s="311"/>
      <c r="E36" s="407" t="s">
        <v>95</v>
      </c>
      <c r="F36" s="408"/>
      <c r="G36" s="408"/>
      <c r="H36" s="408"/>
      <c r="I36" s="408"/>
      <c r="J36" s="67" t="str">
        <f>IF(AND('MAPA V5 2022'!$AA$7="Baja",'MAPA V5 2022'!$AC$7="Leve"),CONCATENATE("R1C",'MAPA V5 2022'!$Q$7),"")</f>
        <v/>
      </c>
      <c r="K36" s="68" t="str">
        <f>IF(AND('MAPA V5 2022'!$AA$10="Baja",'MAPA V5 2022'!$AC$10="Leve"),CONCATENATE("R1C",'MAPA V5 2022'!$Q$10),"")</f>
        <v/>
      </c>
      <c r="L36" s="68" t="str">
        <f>IF(AND('MAPA V5 2022'!$AA$11="Baja",'MAPA V5 2022'!$AC$11="Leve"),CONCATENATE("R1C",'MAPA V5 2022'!$Q$11),"")</f>
        <v/>
      </c>
      <c r="M36" s="68" t="e">
        <f>IF(AND('MAPA V5 2022'!#REF!="Baja",'MAPA V5 2022'!#REF!="Leve"),CONCATENATE("R1C",'MAPA V5 2022'!#REF!),"")</f>
        <v>#REF!</v>
      </c>
      <c r="N36" s="68" t="e">
        <f>IF(AND('MAPA V5 2022'!#REF!="Baja",'MAPA V5 2022'!#REF!="Leve"),CONCATENATE("R1C",'MAPA V5 2022'!#REF!),"")</f>
        <v>#REF!</v>
      </c>
      <c r="O36" s="69" t="e">
        <f>IF(AND('MAPA V5 2022'!#REF!="Baja",'MAPA V5 2022'!#REF!="Leve"),CONCATENATE("R1C",'MAPA V5 2022'!#REF!),"")</f>
        <v>#REF!</v>
      </c>
      <c r="P36" s="58" t="str">
        <f>IF(AND('MAPA V5 2022'!$AA$7="Baja",'MAPA V5 2022'!$AC$7="Menor"),CONCATENATE("R1C",'MAPA V5 2022'!$Q$7),"")</f>
        <v/>
      </c>
      <c r="Q36" s="59" t="str">
        <f>IF(AND('MAPA V5 2022'!$AA$10="Baja",'MAPA V5 2022'!$AC$10="Menor"),CONCATENATE("R1C",'MAPA V5 2022'!$Q$10),"")</f>
        <v/>
      </c>
      <c r="R36" s="59" t="str">
        <f>IF(AND('MAPA V5 2022'!$AA$11="Baja",'MAPA V5 2022'!$AC$11="Menor"),CONCATENATE("R1C",'MAPA V5 2022'!$Q$11),"")</f>
        <v/>
      </c>
      <c r="S36" s="59" t="e">
        <f>IF(AND('MAPA V5 2022'!#REF!="Baja",'MAPA V5 2022'!#REF!="Menor"),CONCATENATE("R1C",'MAPA V5 2022'!#REF!),"")</f>
        <v>#REF!</v>
      </c>
      <c r="T36" s="59" t="e">
        <f>IF(AND('MAPA V5 2022'!#REF!="Baja",'MAPA V5 2022'!#REF!="Menor"),CONCATENATE("R1C",'MAPA V5 2022'!#REF!),"")</f>
        <v>#REF!</v>
      </c>
      <c r="U36" s="60" t="e">
        <f>IF(AND('MAPA V5 2022'!#REF!="Baja",'MAPA V5 2022'!#REF!="Menor"),CONCATENATE("R1C",'MAPA V5 2022'!#REF!),"")</f>
        <v>#REF!</v>
      </c>
      <c r="V36" s="58" t="str">
        <f>IF(AND('MAPA V5 2022'!$AA$7="Baja",'MAPA V5 2022'!$AC$7="Moderado"),CONCATENATE("R1C",'MAPA V5 2022'!$Q$7),"")</f>
        <v/>
      </c>
      <c r="W36" s="59" t="str">
        <f>IF(AND('MAPA V5 2022'!$AA$10="Baja",'MAPA V5 2022'!$AC$10="Moderado"),CONCATENATE("R1C",'MAPA V5 2022'!$Q$10),"")</f>
        <v/>
      </c>
      <c r="X36" s="59" t="str">
        <f>IF(AND('MAPA V5 2022'!$AA$11="Baja",'MAPA V5 2022'!$AC$11="Moderado"),CONCATENATE("R1C",'MAPA V5 2022'!$Q$11),"")</f>
        <v>R1C1</v>
      </c>
      <c r="Y36" s="59" t="e">
        <f>IF(AND('MAPA V5 2022'!#REF!="Baja",'MAPA V5 2022'!#REF!="Moderado"),CONCATENATE("R1C",'MAPA V5 2022'!#REF!),"")</f>
        <v>#REF!</v>
      </c>
      <c r="Z36" s="59" t="e">
        <f>IF(AND('MAPA V5 2022'!#REF!="Baja",'MAPA V5 2022'!#REF!="Moderado"),CONCATENATE("R1C",'MAPA V5 2022'!#REF!),"")</f>
        <v>#REF!</v>
      </c>
      <c r="AA36" s="60" t="e">
        <f>IF(AND('MAPA V5 2022'!#REF!="Baja",'MAPA V5 2022'!#REF!="Moderado"),CONCATENATE("R1C",'MAPA V5 2022'!#REF!),"")</f>
        <v>#REF!</v>
      </c>
      <c r="AB36" s="39" t="str">
        <f>IF(AND('MAPA V5 2022'!$AA$7="Baja",'MAPA V5 2022'!$AC$7="Mayor"),CONCATENATE("R1C",'MAPA V5 2022'!$Q$7),"")</f>
        <v>R1C1</v>
      </c>
      <c r="AC36" s="40" t="str">
        <f>IF(AND('MAPA V5 2022'!$AA$10="Baja",'MAPA V5 2022'!$AC$10="Mayor"),CONCATENATE("R1C",'MAPA V5 2022'!$Q$10),"")</f>
        <v/>
      </c>
      <c r="AD36" s="40" t="str">
        <f>IF(AND('MAPA V5 2022'!$AA$11="Baja",'MAPA V5 2022'!$AC$11="Mayor"),CONCATENATE("R1C",'MAPA V5 2022'!$Q$11),"")</f>
        <v/>
      </c>
      <c r="AE36" s="40" t="e">
        <f>IF(AND('MAPA V5 2022'!#REF!="Baja",'MAPA V5 2022'!#REF!="Mayor"),CONCATENATE("R1C",'MAPA V5 2022'!#REF!),"")</f>
        <v>#REF!</v>
      </c>
      <c r="AF36" s="40" t="e">
        <f>IF(AND('MAPA V5 2022'!#REF!="Baja",'MAPA V5 2022'!#REF!="Mayor"),CONCATENATE("R1C",'MAPA V5 2022'!#REF!),"")</f>
        <v>#REF!</v>
      </c>
      <c r="AG36" s="41" t="e">
        <f>IF(AND('MAPA V5 2022'!#REF!="Baja",'MAPA V5 2022'!#REF!="Mayor"),CONCATENATE("R1C",'MAPA V5 2022'!#REF!),"")</f>
        <v>#REF!</v>
      </c>
      <c r="AH36" s="42" t="str">
        <f>IF(AND('MAPA V5 2022'!$AA$7="Baja",'MAPA V5 2022'!$AC$7="Catastrófico"),CONCATENATE("R1C",'MAPA V5 2022'!$Q$7),"")</f>
        <v/>
      </c>
      <c r="AI36" s="43" t="str">
        <f>IF(AND('MAPA V5 2022'!$AA$10="Baja",'MAPA V5 2022'!$AC$10="Catastrófico"),CONCATENATE("R1C",'MAPA V5 2022'!$Q$10),"")</f>
        <v/>
      </c>
      <c r="AJ36" s="43" t="str">
        <f>IF(AND('MAPA V5 2022'!$AA$11="Baja",'MAPA V5 2022'!$AC$11="Catastrófico"),CONCATENATE("R1C",'MAPA V5 2022'!$Q$11),"")</f>
        <v/>
      </c>
      <c r="AK36" s="43" t="e">
        <f>IF(AND('MAPA V5 2022'!#REF!="Baja",'MAPA V5 2022'!#REF!="Catastrófico"),CONCATENATE("R1C",'MAPA V5 2022'!#REF!),"")</f>
        <v>#REF!</v>
      </c>
      <c r="AL36" s="43" t="e">
        <f>IF(AND('MAPA V5 2022'!#REF!="Baja",'MAPA V5 2022'!#REF!="Catastrófico"),CONCATENATE("R1C",'MAPA V5 2022'!#REF!),"")</f>
        <v>#REF!</v>
      </c>
      <c r="AM36" s="44" t="e">
        <f>IF(AND('MAPA V5 2022'!#REF!="Baja",'MAPA V5 2022'!#REF!="Catastrófico"),CONCATENATE("R1C",'MAPA V5 2022'!#REF!),"")</f>
        <v>#REF!</v>
      </c>
      <c r="AN36" s="77"/>
      <c r="AO36" s="429" t="s">
        <v>66</v>
      </c>
      <c r="AP36" s="430"/>
      <c r="AQ36" s="430"/>
      <c r="AR36" s="430"/>
      <c r="AS36" s="430"/>
      <c r="AT36" s="431"/>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row>
    <row r="37" spans="1:80" ht="15" customHeight="1" x14ac:dyDescent="0.25">
      <c r="A37" s="77"/>
      <c r="B37" s="310"/>
      <c r="C37" s="310"/>
      <c r="D37" s="311"/>
      <c r="E37" s="409"/>
      <c r="F37" s="410"/>
      <c r="G37" s="410"/>
      <c r="H37" s="410"/>
      <c r="I37" s="410"/>
      <c r="J37" s="70" t="str">
        <f>IF(AND('MAPA V5 2022'!$AA$12="Baja",'MAPA V5 2022'!$AC$12="Leve"),CONCATENATE("R2C",'MAPA V5 2022'!$Q$12),"")</f>
        <v/>
      </c>
      <c r="K37" s="71" t="str">
        <f>IF(AND('MAPA V5 2022'!$AA$13="Baja",'MAPA V5 2022'!$AC$13="Leve"),CONCATENATE("R2C",'MAPA V5 2022'!$Q$13),"")</f>
        <v/>
      </c>
      <c r="L37" s="71" t="str">
        <f>IF(AND('MAPA V5 2022'!$AA$14="Baja",'MAPA V5 2022'!$AC$14="Leve"),CONCATENATE("R2C",'MAPA V5 2022'!$Q$14),"")</f>
        <v/>
      </c>
      <c r="M37" s="71" t="str">
        <f>IF(AND('MAPA V5 2022'!$AA$15="Baja",'MAPA V5 2022'!$AC$15="Leve"),CONCATENATE("R2C",'MAPA V5 2022'!$Q$15),"")</f>
        <v/>
      </c>
      <c r="N37" s="71" t="str">
        <f>IF(AND('MAPA V5 2022'!$AA$17="Baja",'MAPA V5 2022'!$AC$17="Leve"),CONCATENATE("R2C",'MAPA V5 2022'!$Q$17),"")</f>
        <v/>
      </c>
      <c r="O37" s="72" t="e">
        <f>IF(AND('MAPA V5 2022'!#REF!="Baja",'MAPA V5 2022'!#REF!="Leve"),CONCATENATE("R2C",'MAPA V5 2022'!#REF!),"")</f>
        <v>#REF!</v>
      </c>
      <c r="P37" s="61" t="str">
        <f>IF(AND('MAPA V5 2022'!$AA$12="Baja",'MAPA V5 2022'!$AC$12="Menor"),CONCATENATE("R2C",'MAPA V5 2022'!$Q$12),"")</f>
        <v/>
      </c>
      <c r="Q37" s="62" t="str">
        <f>IF(AND('MAPA V5 2022'!$AA$13="Baja",'MAPA V5 2022'!$AC$13="Menor"),CONCATENATE("R2C",'MAPA V5 2022'!$Q$13),"")</f>
        <v/>
      </c>
      <c r="R37" s="62" t="str">
        <f>IF(AND('MAPA V5 2022'!$AA$14="Baja",'MAPA V5 2022'!$AC$14="Menor"),CONCATENATE("R2C",'MAPA V5 2022'!$Q$14),"")</f>
        <v/>
      </c>
      <c r="S37" s="62" t="str">
        <f>IF(AND('MAPA V5 2022'!$AA$15="Baja",'MAPA V5 2022'!$AC$15="Menor"),CONCATENATE("R2C",'MAPA V5 2022'!$Q$15),"")</f>
        <v/>
      </c>
      <c r="T37" s="62" t="str">
        <f>IF(AND('MAPA V5 2022'!$AA$17="Baja",'MAPA V5 2022'!$AC$17="Menor"),CONCATENATE("R2C",'MAPA V5 2022'!$Q$17),"")</f>
        <v/>
      </c>
      <c r="U37" s="63" t="e">
        <f>IF(AND('MAPA V5 2022'!#REF!="Baja",'MAPA V5 2022'!#REF!="Menor"),CONCATENATE("R2C",'MAPA V5 2022'!#REF!),"")</f>
        <v>#REF!</v>
      </c>
      <c r="V37" s="61" t="str">
        <f>IF(AND('MAPA V5 2022'!$AA$12="Baja",'MAPA V5 2022'!$AC$12="Moderado"),CONCATENATE("R2C",'MAPA V5 2022'!$Q$12),"")</f>
        <v/>
      </c>
      <c r="W37" s="62" t="str">
        <f>IF(AND('MAPA V5 2022'!$AA$13="Baja",'MAPA V5 2022'!$AC$13="Moderado"),CONCATENATE("R2C",'MAPA V5 2022'!$Q$13),"")</f>
        <v>R2C1</v>
      </c>
      <c r="X37" s="62" t="str">
        <f>IF(AND('MAPA V5 2022'!$AA$14="Baja",'MAPA V5 2022'!$AC$14="Moderado"),CONCATENATE("R2C",'MAPA V5 2022'!$Q$14),"")</f>
        <v/>
      </c>
      <c r="Y37" s="62" t="str">
        <f>IF(AND('MAPA V5 2022'!$AA$15="Baja",'MAPA V5 2022'!$AC$15="Moderado"),CONCATENATE("R2C",'MAPA V5 2022'!$Q$15),"")</f>
        <v>R2C1</v>
      </c>
      <c r="Z37" s="62" t="str">
        <f>IF(AND('MAPA V5 2022'!$AA$17="Baja",'MAPA V5 2022'!$AC$17="Moderado"),CONCATENATE("R2C",'MAPA V5 2022'!$Q$17),"")</f>
        <v>R2C1</v>
      </c>
      <c r="AA37" s="63" t="e">
        <f>IF(AND('MAPA V5 2022'!#REF!="Baja",'MAPA V5 2022'!#REF!="Moderado"),CONCATENATE("R2C",'MAPA V5 2022'!#REF!),"")</f>
        <v>#REF!</v>
      </c>
      <c r="AB37" s="45" t="str">
        <f>IF(AND('MAPA V5 2022'!$AA$12="Baja",'MAPA V5 2022'!$AC$12="Mayor"),CONCATENATE("R2C",'MAPA V5 2022'!$Q$12),"")</f>
        <v/>
      </c>
      <c r="AC37" s="46" t="str">
        <f>IF(AND('MAPA V5 2022'!$AA$13="Baja",'MAPA V5 2022'!$AC$13="Mayor"),CONCATENATE("R2C",'MAPA V5 2022'!$Q$13),"")</f>
        <v/>
      </c>
      <c r="AD37" s="46" t="str">
        <f>IF(AND('MAPA V5 2022'!$AA$14="Baja",'MAPA V5 2022'!$AC$14="Mayor"),CONCATENATE("R2C",'MAPA V5 2022'!$Q$14),"")</f>
        <v/>
      </c>
      <c r="AE37" s="46" t="str">
        <f>IF(AND('MAPA V5 2022'!$AA$15="Baja",'MAPA V5 2022'!$AC$15="Mayor"),CONCATENATE("R2C",'MAPA V5 2022'!$Q$15),"")</f>
        <v/>
      </c>
      <c r="AF37" s="46" t="str">
        <f>IF(AND('MAPA V5 2022'!$AA$17="Baja",'MAPA V5 2022'!$AC$17="Mayor"),CONCATENATE("R2C",'MAPA V5 2022'!$Q$17),"")</f>
        <v/>
      </c>
      <c r="AG37" s="47" t="e">
        <f>IF(AND('MAPA V5 2022'!#REF!="Baja",'MAPA V5 2022'!#REF!="Mayor"),CONCATENATE("R2C",'MAPA V5 2022'!#REF!),"")</f>
        <v>#REF!</v>
      </c>
      <c r="AH37" s="48" t="str">
        <f>IF(AND('MAPA V5 2022'!$AA$12="Baja",'MAPA V5 2022'!$AC$12="Catastrófico"),CONCATENATE("R2C",'MAPA V5 2022'!$Q$12),"")</f>
        <v/>
      </c>
      <c r="AI37" s="49" t="str">
        <f>IF(AND('MAPA V5 2022'!$AA$13="Baja",'MAPA V5 2022'!$AC$13="Catastrófico"),CONCATENATE("R2C",'MAPA V5 2022'!$Q$13),"")</f>
        <v/>
      </c>
      <c r="AJ37" s="49" t="str">
        <f>IF(AND('MAPA V5 2022'!$AA$14="Baja",'MAPA V5 2022'!$AC$14="Catastrófico"),CONCATENATE("R2C",'MAPA V5 2022'!$Q$14),"")</f>
        <v/>
      </c>
      <c r="AK37" s="49" t="str">
        <f>IF(AND('MAPA V5 2022'!$AA$15="Baja",'MAPA V5 2022'!$AC$15="Catastrófico"),CONCATENATE("R2C",'MAPA V5 2022'!$Q$15),"")</f>
        <v/>
      </c>
      <c r="AL37" s="49" t="str">
        <f>IF(AND('MAPA V5 2022'!$AA$17="Baja",'MAPA V5 2022'!$AC$17="Catastrófico"),CONCATENATE("R2C",'MAPA V5 2022'!$Q$17),"")</f>
        <v/>
      </c>
      <c r="AM37" s="50" t="e">
        <f>IF(AND('MAPA V5 2022'!#REF!="Baja",'MAPA V5 2022'!#REF!="Catastrófico"),CONCATENATE("R2C",'MAPA V5 2022'!#REF!),"")</f>
        <v>#REF!</v>
      </c>
      <c r="AN37" s="77"/>
      <c r="AO37" s="432"/>
      <c r="AP37" s="433"/>
      <c r="AQ37" s="433"/>
      <c r="AR37" s="433"/>
      <c r="AS37" s="433"/>
      <c r="AT37" s="434"/>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row>
    <row r="38" spans="1:80" ht="15" customHeight="1" x14ac:dyDescent="0.25">
      <c r="A38" s="77"/>
      <c r="B38" s="310"/>
      <c r="C38" s="310"/>
      <c r="D38" s="311"/>
      <c r="E38" s="411"/>
      <c r="F38" s="412"/>
      <c r="G38" s="412"/>
      <c r="H38" s="412"/>
      <c r="I38" s="410"/>
      <c r="J38" s="70" t="str">
        <f>IF(AND('MAPA V5 2022'!$AA$18="Baja",'MAPA V5 2022'!$AC$18="Leve"),CONCATENATE("R3C",'MAPA V5 2022'!$Q$18),"")</f>
        <v/>
      </c>
      <c r="K38" s="71" t="str">
        <f>IF(AND('MAPA V5 2022'!$AA$19="Baja",'MAPA V5 2022'!$AC$19="Leve"),CONCATENATE("R3C",'MAPA V5 2022'!$Q$19),"")</f>
        <v/>
      </c>
      <c r="L38" s="71" t="str">
        <f>IF(AND('MAPA V5 2022'!$AA$21="Baja",'MAPA V5 2022'!$AC$21="Leve"),CONCATENATE("R3C",'MAPA V5 2022'!$Q$21),"")</f>
        <v/>
      </c>
      <c r="M38" s="71" t="e">
        <f>IF(AND('MAPA V5 2022'!#REF!="Baja",'MAPA V5 2022'!#REF!="Leve"),CONCATENATE("R3C",'MAPA V5 2022'!#REF!),"")</f>
        <v>#REF!</v>
      </c>
      <c r="N38" s="71" t="str">
        <f>IF(AND('MAPA V5 2022'!$AA$23="Baja",'MAPA V5 2022'!$AC$23="Leve"),CONCATENATE("R3C",'MAPA V5 2022'!$Q$23),"")</f>
        <v/>
      </c>
      <c r="O38" s="72" t="str">
        <f>IF(AND('MAPA V5 2022'!$AA$24="Baja",'MAPA V5 2022'!$AC$24="Leve"),CONCATENATE("R3C",'MAPA V5 2022'!$Q$24),"")</f>
        <v/>
      </c>
      <c r="P38" s="61" t="str">
        <f>IF(AND('MAPA V5 2022'!$AA$18="Baja",'MAPA V5 2022'!$AC$18="Menor"),CONCATENATE("R3C",'MAPA V5 2022'!$Q$18),"")</f>
        <v/>
      </c>
      <c r="Q38" s="62" t="str">
        <f>IF(AND('MAPA V5 2022'!$AA$19="Baja",'MAPA V5 2022'!$AC$19="Menor"),CONCATENATE("R3C",'MAPA V5 2022'!$Q$19),"")</f>
        <v/>
      </c>
      <c r="R38" s="62" t="str">
        <f>IF(AND('MAPA V5 2022'!$AA$21="Baja",'MAPA V5 2022'!$AC$21="Menor"),CONCATENATE("R3C",'MAPA V5 2022'!$Q$21),"")</f>
        <v/>
      </c>
      <c r="S38" s="62" t="e">
        <f>IF(AND('MAPA V5 2022'!#REF!="Baja",'MAPA V5 2022'!#REF!="Menor"),CONCATENATE("R3C",'MAPA V5 2022'!#REF!),"")</f>
        <v>#REF!</v>
      </c>
      <c r="T38" s="62" t="str">
        <f>IF(AND('MAPA V5 2022'!$AA$23="Baja",'MAPA V5 2022'!$AC$23="Menor"),CONCATENATE("R3C",'MAPA V5 2022'!$Q$23),"")</f>
        <v/>
      </c>
      <c r="U38" s="63" t="str">
        <f>IF(AND('MAPA V5 2022'!$AA$24="Baja",'MAPA V5 2022'!$AC$24="Menor"),CONCATENATE("R3C",'MAPA V5 2022'!$Q$24),"")</f>
        <v/>
      </c>
      <c r="V38" s="61" t="str">
        <f>IF(AND('MAPA V5 2022'!$AA$18="Baja",'MAPA V5 2022'!$AC$18="Moderado"),CONCATENATE("R3C",'MAPA V5 2022'!$Q$18),"")</f>
        <v/>
      </c>
      <c r="W38" s="62" t="str">
        <f>IF(AND('MAPA V5 2022'!$AA$19="Baja",'MAPA V5 2022'!$AC$19="Moderado"),CONCATENATE("R3C",'MAPA V5 2022'!$Q$19),"")</f>
        <v>R3C1</v>
      </c>
      <c r="X38" s="62" t="str">
        <f>IF(AND('MAPA V5 2022'!$AA$21="Baja",'MAPA V5 2022'!$AC$21="Moderado"),CONCATENATE("R3C",'MAPA V5 2022'!$Q$21),"")</f>
        <v/>
      </c>
      <c r="Y38" s="62" t="e">
        <f>IF(AND('MAPA V5 2022'!#REF!="Baja",'MAPA V5 2022'!#REF!="Moderado"),CONCATENATE("R3C",'MAPA V5 2022'!#REF!),"")</f>
        <v>#REF!</v>
      </c>
      <c r="Z38" s="62" t="str">
        <f>IF(AND('MAPA V5 2022'!$AA$23="Baja",'MAPA V5 2022'!$AC$23="Moderado"),CONCATENATE("R3C",'MAPA V5 2022'!$Q$23),"")</f>
        <v>R3C1</v>
      </c>
      <c r="AA38" s="63" t="str">
        <f>IF(AND('MAPA V5 2022'!$AA$24="Baja",'MAPA V5 2022'!$AC$24="Moderado"),CONCATENATE("R3C",'MAPA V5 2022'!$Q$24),"")</f>
        <v/>
      </c>
      <c r="AB38" s="45" t="str">
        <f>IF(AND('MAPA V5 2022'!$AA$18="Baja",'MAPA V5 2022'!$AC$18="Mayor"),CONCATENATE("R3C",'MAPA V5 2022'!$Q$18),"")</f>
        <v/>
      </c>
      <c r="AC38" s="46" t="str">
        <f>IF(AND('MAPA V5 2022'!$AA$19="Baja",'MAPA V5 2022'!$AC$19="Mayor"),CONCATENATE("R3C",'MAPA V5 2022'!$Q$19),"")</f>
        <v/>
      </c>
      <c r="AD38" s="46" t="str">
        <f>IF(AND('MAPA V5 2022'!$AA$21="Baja",'MAPA V5 2022'!$AC$21="Mayor"),CONCATENATE("R3C",'MAPA V5 2022'!$Q$21),"")</f>
        <v/>
      </c>
      <c r="AE38" s="46" t="e">
        <f>IF(AND('MAPA V5 2022'!#REF!="Baja",'MAPA V5 2022'!#REF!="Mayor"),CONCATENATE("R3C",'MAPA V5 2022'!#REF!),"")</f>
        <v>#REF!</v>
      </c>
      <c r="AF38" s="46" t="str">
        <f>IF(AND('MAPA V5 2022'!$AA$23="Baja",'MAPA V5 2022'!$AC$23="Mayor"),CONCATENATE("R3C",'MAPA V5 2022'!$Q$23),"")</f>
        <v/>
      </c>
      <c r="AG38" s="47" t="str">
        <f>IF(AND('MAPA V5 2022'!$AA$24="Baja",'MAPA V5 2022'!$AC$24="Mayor"),CONCATENATE("R3C",'MAPA V5 2022'!$Q$24),"")</f>
        <v>R3C1</v>
      </c>
      <c r="AH38" s="48" t="str">
        <f>IF(AND('MAPA V5 2022'!$AA$18="Baja",'MAPA V5 2022'!$AC$18="Catastrófico"),CONCATENATE("R3C",'MAPA V5 2022'!$Q$18),"")</f>
        <v/>
      </c>
      <c r="AI38" s="49" t="str">
        <f>IF(AND('MAPA V5 2022'!$AA$19="Baja",'MAPA V5 2022'!$AC$19="Catastrófico"),CONCATENATE("R3C",'MAPA V5 2022'!$Q$19),"")</f>
        <v/>
      </c>
      <c r="AJ38" s="49" t="str">
        <f>IF(AND('MAPA V5 2022'!$AA$21="Baja",'MAPA V5 2022'!$AC$21="Catastrófico"),CONCATENATE("R3C",'MAPA V5 2022'!$Q$21),"")</f>
        <v/>
      </c>
      <c r="AK38" s="49" t="e">
        <f>IF(AND('MAPA V5 2022'!#REF!="Baja",'MAPA V5 2022'!#REF!="Catastrófico"),CONCATENATE("R3C",'MAPA V5 2022'!#REF!),"")</f>
        <v>#REF!</v>
      </c>
      <c r="AL38" s="49" t="str">
        <f>IF(AND('MAPA V5 2022'!$AA$23="Baja",'MAPA V5 2022'!$AC$23="Catastrófico"),CONCATENATE("R3C",'MAPA V5 2022'!$Q$23),"")</f>
        <v/>
      </c>
      <c r="AM38" s="50" t="str">
        <f>IF(AND('MAPA V5 2022'!$AA$24="Baja",'MAPA V5 2022'!$AC$24="Catastrófico"),CONCATENATE("R3C",'MAPA V5 2022'!$Q$24),"")</f>
        <v/>
      </c>
      <c r="AN38" s="77"/>
      <c r="AO38" s="432"/>
      <c r="AP38" s="433"/>
      <c r="AQ38" s="433"/>
      <c r="AR38" s="433"/>
      <c r="AS38" s="433"/>
      <c r="AT38" s="434"/>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row>
    <row r="39" spans="1:80" ht="15" customHeight="1" x14ac:dyDescent="0.25">
      <c r="A39" s="77"/>
      <c r="B39" s="310"/>
      <c r="C39" s="310"/>
      <c r="D39" s="311"/>
      <c r="E39" s="411"/>
      <c r="F39" s="412"/>
      <c r="G39" s="412"/>
      <c r="H39" s="412"/>
      <c r="I39" s="410"/>
      <c r="J39" s="70" t="str">
        <f>IF(AND('MAPA V5 2022'!$AA$25="Baja",'MAPA V5 2022'!$AC$25="Leve"),CONCATENATE("R4C",'MAPA V5 2022'!$Q$25),"")</f>
        <v/>
      </c>
      <c r="K39" s="71" t="e">
        <f>IF(AND('MAPA V5 2022'!#REF!="Baja",'MAPA V5 2022'!#REF!="Leve"),CONCATENATE("R4C",'MAPA V5 2022'!#REF!),"")</f>
        <v>#REF!</v>
      </c>
      <c r="L39" s="71" t="str">
        <f>IF(AND('MAPA V5 2022'!$AA$26="Baja",'MAPA V5 2022'!$AC$26="Leve"),CONCATENATE("R4C",'MAPA V5 2022'!$Q$26),"")</f>
        <v/>
      </c>
      <c r="M39" s="71" t="str">
        <f>IF(AND('MAPA V5 2022'!$AA$27="Baja",'MAPA V5 2022'!$AC$27="Leve"),CONCATENATE("R4C",'MAPA V5 2022'!$Q$27),"")</f>
        <v/>
      </c>
      <c r="N39" s="71" t="e">
        <f>IF(AND('MAPA V5 2022'!#REF!="Baja",'MAPA V5 2022'!#REF!="Leve"),CONCATENATE("R4C",'MAPA V5 2022'!#REF!),"")</f>
        <v>#REF!</v>
      </c>
      <c r="O39" s="72" t="str">
        <f>IF(AND('MAPA V5 2022'!$AA$28="Baja",'MAPA V5 2022'!$AC$28="Leve"),CONCATENATE("R4C",'MAPA V5 2022'!$Q$28),"")</f>
        <v/>
      </c>
      <c r="P39" s="61" t="str">
        <f>IF(AND('MAPA V5 2022'!$AA$25="Baja",'MAPA V5 2022'!$AC$25="Menor"),CONCATENATE("R4C",'MAPA V5 2022'!$Q$25),"")</f>
        <v/>
      </c>
      <c r="Q39" s="62" t="e">
        <f>IF(AND('MAPA V5 2022'!#REF!="Baja",'MAPA V5 2022'!#REF!="Menor"),CONCATENATE("R4C",'MAPA V5 2022'!#REF!),"")</f>
        <v>#REF!</v>
      </c>
      <c r="R39" s="62" t="str">
        <f>IF(AND('MAPA V5 2022'!$AA$26="Baja",'MAPA V5 2022'!$AC$26="Menor"),CONCATENATE("R4C",'MAPA V5 2022'!$Q$26),"")</f>
        <v/>
      </c>
      <c r="S39" s="62" t="str">
        <f>IF(AND('MAPA V5 2022'!$AA$27="Baja",'MAPA V5 2022'!$AC$27="Menor"),CONCATENATE("R4C",'MAPA V5 2022'!$Q$27),"")</f>
        <v/>
      </c>
      <c r="T39" s="62" t="e">
        <f>IF(AND('MAPA V5 2022'!#REF!="Baja",'MAPA V5 2022'!#REF!="Menor"),CONCATENATE("R4C",'MAPA V5 2022'!#REF!),"")</f>
        <v>#REF!</v>
      </c>
      <c r="U39" s="63" t="str">
        <f>IF(AND('MAPA V5 2022'!$AA$28="Baja",'MAPA V5 2022'!$AC$28="Menor"),CONCATENATE("R4C",'MAPA V5 2022'!$Q$28),"")</f>
        <v/>
      </c>
      <c r="V39" s="61" t="str">
        <f>IF(AND('MAPA V5 2022'!$AA$25="Baja",'MAPA V5 2022'!$AC$25="Moderado"),CONCATENATE("R4C",'MAPA V5 2022'!$Q$25),"")</f>
        <v/>
      </c>
      <c r="W39" s="62" t="e">
        <f>IF(AND('MAPA V5 2022'!#REF!="Baja",'MAPA V5 2022'!#REF!="Moderado"),CONCATENATE("R4C",'MAPA V5 2022'!#REF!),"")</f>
        <v>#REF!</v>
      </c>
      <c r="X39" s="62" t="str">
        <f>IF(AND('MAPA V5 2022'!$AA$26="Baja",'MAPA V5 2022'!$AC$26="Moderado"),CONCATENATE("R4C",'MAPA V5 2022'!$Q$26),"")</f>
        <v/>
      </c>
      <c r="Y39" s="62" t="str">
        <f>IF(AND('MAPA V5 2022'!$AA$27="Baja",'MAPA V5 2022'!$AC$27="Moderado"),CONCATENATE("R4C",'MAPA V5 2022'!$Q$27),"")</f>
        <v>R4C1</v>
      </c>
      <c r="Z39" s="62" t="e">
        <f>IF(AND('MAPA V5 2022'!#REF!="Baja",'MAPA V5 2022'!#REF!="Moderado"),CONCATENATE("R4C",'MAPA V5 2022'!#REF!),"")</f>
        <v>#REF!</v>
      </c>
      <c r="AA39" s="63" t="str">
        <f>IF(AND('MAPA V5 2022'!$AA$28="Baja",'MAPA V5 2022'!$AC$28="Moderado"),CONCATENATE("R4C",'MAPA V5 2022'!$Q$28),"")</f>
        <v/>
      </c>
      <c r="AB39" s="45" t="str">
        <f>IF(AND('MAPA V5 2022'!$AA$25="Baja",'MAPA V5 2022'!$AC$25="Mayor"),CONCATENATE("R4C",'MAPA V5 2022'!$Q$25),"")</f>
        <v/>
      </c>
      <c r="AC39" s="46" t="e">
        <f>IF(AND('MAPA V5 2022'!#REF!="Baja",'MAPA V5 2022'!#REF!="Mayor"),CONCATENATE("R4C",'MAPA V5 2022'!#REF!),"")</f>
        <v>#REF!</v>
      </c>
      <c r="AD39" s="46" t="str">
        <f>IF(AND('MAPA V5 2022'!$AA$26="Baja",'MAPA V5 2022'!$AC$26="Mayor"),CONCATENATE("R4C",'MAPA V5 2022'!$Q$26),"")</f>
        <v/>
      </c>
      <c r="AE39" s="46" t="str">
        <f>IF(AND('MAPA V5 2022'!$AA$27="Baja",'MAPA V5 2022'!$AC$27="Mayor"),CONCATENATE("R4C",'MAPA V5 2022'!$Q$27),"")</f>
        <v/>
      </c>
      <c r="AF39" s="46" t="e">
        <f>IF(AND('MAPA V5 2022'!#REF!="Baja",'MAPA V5 2022'!#REF!="Mayor"),CONCATENATE("R4C",'MAPA V5 2022'!#REF!),"")</f>
        <v>#REF!</v>
      </c>
      <c r="AG39" s="47" t="str">
        <f>IF(AND('MAPA V5 2022'!$AA$28="Baja",'MAPA V5 2022'!$AC$28="Mayor"),CONCATENATE("R4C",'MAPA V5 2022'!$Q$28),"")</f>
        <v/>
      </c>
      <c r="AH39" s="48" t="str">
        <f>IF(AND('MAPA V5 2022'!$AA$25="Baja",'MAPA V5 2022'!$AC$25="Catastrófico"),CONCATENATE("R4C",'MAPA V5 2022'!$Q$25),"")</f>
        <v/>
      </c>
      <c r="AI39" s="49" t="e">
        <f>IF(AND('MAPA V5 2022'!#REF!="Baja",'MAPA V5 2022'!#REF!="Catastrófico"),CONCATENATE("R4C",'MAPA V5 2022'!#REF!),"")</f>
        <v>#REF!</v>
      </c>
      <c r="AJ39" s="49" t="str">
        <f>IF(AND('MAPA V5 2022'!$AA$26="Baja",'MAPA V5 2022'!$AC$26="Catastrófico"),CONCATENATE("R4C",'MAPA V5 2022'!$Q$26),"")</f>
        <v/>
      </c>
      <c r="AK39" s="49" t="str">
        <f>IF(AND('MAPA V5 2022'!$AA$27="Baja",'MAPA V5 2022'!$AC$27="Catastrófico"),CONCATENATE("R4C",'MAPA V5 2022'!$Q$27),"")</f>
        <v/>
      </c>
      <c r="AL39" s="49" t="e">
        <f>IF(AND('MAPA V5 2022'!#REF!="Baja",'MAPA V5 2022'!#REF!="Catastrófico"),CONCATENATE("R4C",'MAPA V5 2022'!#REF!),"")</f>
        <v>#REF!</v>
      </c>
      <c r="AM39" s="50" t="str">
        <f>IF(AND('MAPA V5 2022'!$AA$28="Baja",'MAPA V5 2022'!$AC$28="Catastrófico"),CONCATENATE("R4C",'MAPA V5 2022'!$Q$28),"")</f>
        <v/>
      </c>
      <c r="AN39" s="77"/>
      <c r="AO39" s="432"/>
      <c r="AP39" s="433"/>
      <c r="AQ39" s="433"/>
      <c r="AR39" s="433"/>
      <c r="AS39" s="433"/>
      <c r="AT39" s="434"/>
      <c r="AU39" s="77"/>
      <c r="AV39" s="77"/>
      <c r="AW39" s="77"/>
      <c r="AX39" s="77"/>
      <c r="AY39" s="77"/>
      <c r="AZ39" s="77"/>
      <c r="BA39" s="77"/>
      <c r="BB39" s="77"/>
      <c r="BC39" s="77"/>
      <c r="BD39" s="77"/>
      <c r="BE39" s="77"/>
      <c r="BF39" s="77"/>
      <c r="BG39" s="77"/>
      <c r="BH39" s="77"/>
      <c r="BI39" s="77"/>
      <c r="BJ39" s="77"/>
      <c r="BK39" s="77"/>
      <c r="BL39" s="77"/>
      <c r="BM39" s="77"/>
      <c r="BN39" s="77"/>
      <c r="BO39" s="77"/>
      <c r="BP39" s="77"/>
      <c r="BQ39" s="77"/>
      <c r="BR39" s="77"/>
      <c r="BS39" s="77"/>
      <c r="BT39" s="77"/>
      <c r="BU39" s="77"/>
      <c r="BV39" s="77"/>
      <c r="BW39" s="77"/>
      <c r="BX39" s="77"/>
    </row>
    <row r="40" spans="1:80" ht="15" customHeight="1" x14ac:dyDescent="0.25">
      <c r="A40" s="77"/>
      <c r="B40" s="310"/>
      <c r="C40" s="310"/>
      <c r="D40" s="311"/>
      <c r="E40" s="411"/>
      <c r="F40" s="412"/>
      <c r="G40" s="412"/>
      <c r="H40" s="412"/>
      <c r="I40" s="410"/>
      <c r="J40" s="70" t="str">
        <f>IF(AND('MAPA V5 2022'!$AA$29="Baja",'MAPA V5 2022'!$AC$29="Leve"),CONCATENATE("R5C",'MAPA V5 2022'!$Q$29),"")</f>
        <v/>
      </c>
      <c r="K40" s="71" t="str">
        <f>IF(AND('MAPA V5 2022'!$AA$30="Baja",'MAPA V5 2022'!$AC$30="Leve"),CONCATENATE("R5C",'MAPA V5 2022'!$Q$30),"")</f>
        <v/>
      </c>
      <c r="L40" s="71" t="str">
        <f>IF(AND('MAPA V5 2022'!$AA$31="Baja",'MAPA V5 2022'!$AC$31="Leve"),CONCATENATE("R5C",'MAPA V5 2022'!$Q$31),"")</f>
        <v/>
      </c>
      <c r="M40" s="71" t="str">
        <f>IF(AND('MAPA V5 2022'!$AA$33="Baja",'MAPA V5 2022'!$AC$33="Leve"),CONCATENATE("R5C",'MAPA V5 2022'!$Q$33),"")</f>
        <v/>
      </c>
      <c r="N40" s="71" t="str">
        <f>IF(AND('MAPA V5 2022'!$AA$34="Baja",'MAPA V5 2022'!$AC$34="Leve"),CONCATENATE("R5C",'MAPA V5 2022'!$Q$34),"")</f>
        <v/>
      </c>
      <c r="O40" s="72" t="e">
        <f>IF(AND('MAPA V5 2022'!#REF!="Baja",'MAPA V5 2022'!#REF!="Leve"),CONCATENATE("R5C",'MAPA V5 2022'!#REF!),"")</f>
        <v>#REF!</v>
      </c>
      <c r="P40" s="61" t="str">
        <f>IF(AND('MAPA V5 2022'!$AA$29="Baja",'MAPA V5 2022'!$AC$29="Menor"),CONCATENATE("R5C",'MAPA V5 2022'!$Q$29),"")</f>
        <v/>
      </c>
      <c r="Q40" s="62" t="str">
        <f>IF(AND('MAPA V5 2022'!$AA$30="Baja",'MAPA V5 2022'!$AC$30="Menor"),CONCATENATE("R5C",'MAPA V5 2022'!$Q$30),"")</f>
        <v/>
      </c>
      <c r="R40" s="62" t="str">
        <f>IF(AND('MAPA V5 2022'!$AA$31="Baja",'MAPA V5 2022'!$AC$31="Menor"),CONCATENATE("R5C",'MAPA V5 2022'!$Q$31),"")</f>
        <v/>
      </c>
      <c r="S40" s="62" t="str">
        <f>IF(AND('MAPA V5 2022'!$AA$33="Baja",'MAPA V5 2022'!$AC$33="Menor"),CONCATENATE("R5C",'MAPA V5 2022'!$Q$33),"")</f>
        <v>R5C1</v>
      </c>
      <c r="T40" s="62" t="str">
        <f>IF(AND('MAPA V5 2022'!$AA$34="Baja",'MAPA V5 2022'!$AC$34="Menor"),CONCATENATE("R5C",'MAPA V5 2022'!$Q$34),"")</f>
        <v/>
      </c>
      <c r="U40" s="63" t="e">
        <f>IF(AND('MAPA V5 2022'!#REF!="Baja",'MAPA V5 2022'!#REF!="Menor"),CONCATENATE("R5C",'MAPA V5 2022'!#REF!),"")</f>
        <v>#REF!</v>
      </c>
      <c r="V40" s="61" t="str">
        <f>IF(AND('MAPA V5 2022'!$AA$29="Baja",'MAPA V5 2022'!$AC$29="Moderado"),CONCATENATE("R5C",'MAPA V5 2022'!$Q$29),"")</f>
        <v/>
      </c>
      <c r="W40" s="62" t="str">
        <f>IF(AND('MAPA V5 2022'!$AA$30="Baja",'MAPA V5 2022'!$AC$30="Moderado"),CONCATENATE("R5C",'MAPA V5 2022'!$Q$30),"")</f>
        <v>R5C2</v>
      </c>
      <c r="X40" s="62" t="str">
        <f>IF(AND('MAPA V5 2022'!$AA$31="Baja",'MAPA V5 2022'!$AC$31="Moderado"),CONCATENATE("R5C",'MAPA V5 2022'!$Q$31),"")</f>
        <v/>
      </c>
      <c r="Y40" s="62" t="str">
        <f>IF(AND('MAPA V5 2022'!$AA$33="Baja",'MAPA V5 2022'!$AC$33="Moderado"),CONCATENATE("R5C",'MAPA V5 2022'!$Q$33),"")</f>
        <v/>
      </c>
      <c r="Z40" s="62" t="str">
        <f>IF(AND('MAPA V5 2022'!$AA$34="Baja",'MAPA V5 2022'!$AC$34="Moderado"),CONCATENATE("R5C",'MAPA V5 2022'!$Q$34),"")</f>
        <v/>
      </c>
      <c r="AA40" s="63" t="e">
        <f>IF(AND('MAPA V5 2022'!#REF!="Baja",'MAPA V5 2022'!#REF!="Moderado"),CONCATENATE("R5C",'MAPA V5 2022'!#REF!),"")</f>
        <v>#REF!</v>
      </c>
      <c r="AB40" s="45" t="str">
        <f>IF(AND('MAPA V5 2022'!$AA$29="Baja",'MAPA V5 2022'!$AC$29="Mayor"),CONCATENATE("R5C",'MAPA V5 2022'!$Q$29),"")</f>
        <v/>
      </c>
      <c r="AC40" s="46" t="str">
        <f>IF(AND('MAPA V5 2022'!$AA$30="Baja",'MAPA V5 2022'!$AC$30="Mayor"),CONCATENATE("R5C",'MAPA V5 2022'!$Q$30),"")</f>
        <v/>
      </c>
      <c r="AD40" s="51" t="str">
        <f>IF(AND('MAPA V5 2022'!$AA$31="Baja",'MAPA V5 2022'!$AC$31="Mayor"),CONCATENATE("R5C",'MAPA V5 2022'!$Q$31),"")</f>
        <v/>
      </c>
      <c r="AE40" s="51" t="str">
        <f>IF(AND('MAPA V5 2022'!$AA$33="Baja",'MAPA V5 2022'!$AC$33="Mayor"),CONCATENATE("R5C",'MAPA V5 2022'!$Q$33),"")</f>
        <v/>
      </c>
      <c r="AF40" s="51" t="str">
        <f>IF(AND('MAPA V5 2022'!$AA$34="Baja",'MAPA V5 2022'!$AC$34="Mayor"),CONCATENATE("R5C",'MAPA V5 2022'!$Q$34),"")</f>
        <v/>
      </c>
      <c r="AG40" s="47" t="e">
        <f>IF(AND('MAPA V5 2022'!#REF!="Baja",'MAPA V5 2022'!#REF!="Mayor"),CONCATENATE("R5C",'MAPA V5 2022'!#REF!),"")</f>
        <v>#REF!</v>
      </c>
      <c r="AH40" s="48" t="str">
        <f>IF(AND('MAPA V5 2022'!$AA$29="Baja",'MAPA V5 2022'!$AC$29="Catastrófico"),CONCATENATE("R5C",'MAPA V5 2022'!$Q$29),"")</f>
        <v/>
      </c>
      <c r="AI40" s="49" t="str">
        <f>IF(AND('MAPA V5 2022'!$AA$30="Baja",'MAPA V5 2022'!$AC$30="Catastrófico"),CONCATENATE("R5C",'MAPA V5 2022'!$Q$30),"")</f>
        <v/>
      </c>
      <c r="AJ40" s="49" t="str">
        <f>IF(AND('MAPA V5 2022'!$AA$31="Baja",'MAPA V5 2022'!$AC$31="Catastrófico"),CONCATENATE("R5C",'MAPA V5 2022'!$Q$31),"")</f>
        <v/>
      </c>
      <c r="AK40" s="49" t="str">
        <f>IF(AND('MAPA V5 2022'!$AA$33="Baja",'MAPA V5 2022'!$AC$33="Catastrófico"),CONCATENATE("R5C",'MAPA V5 2022'!$Q$33),"")</f>
        <v/>
      </c>
      <c r="AL40" s="49" t="str">
        <f>IF(AND('MAPA V5 2022'!$AA$34="Baja",'MAPA V5 2022'!$AC$34="Catastrófico"),CONCATENATE("R5C",'MAPA V5 2022'!$Q$34),"")</f>
        <v/>
      </c>
      <c r="AM40" s="50" t="e">
        <f>IF(AND('MAPA V5 2022'!#REF!="Baja",'MAPA V5 2022'!#REF!="Catastrófico"),CONCATENATE("R5C",'MAPA V5 2022'!#REF!),"")</f>
        <v>#REF!</v>
      </c>
      <c r="AN40" s="77"/>
      <c r="AO40" s="432"/>
      <c r="AP40" s="433"/>
      <c r="AQ40" s="433"/>
      <c r="AR40" s="433"/>
      <c r="AS40" s="433"/>
      <c r="AT40" s="434"/>
      <c r="AU40" s="77"/>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c r="BX40" s="77"/>
    </row>
    <row r="41" spans="1:80" ht="15" customHeight="1" x14ac:dyDescent="0.25">
      <c r="A41" s="77"/>
      <c r="B41" s="310"/>
      <c r="C41" s="310"/>
      <c r="D41" s="311"/>
      <c r="E41" s="411"/>
      <c r="F41" s="412"/>
      <c r="G41" s="412"/>
      <c r="H41" s="412"/>
      <c r="I41" s="410"/>
      <c r="J41" s="70" t="e">
        <f>IF(AND('MAPA V5 2022'!#REF!="Baja",'MAPA V5 2022'!#REF!="Leve"),CONCATENATE("R6C",'MAPA V5 2022'!#REF!),"")</f>
        <v>#REF!</v>
      </c>
      <c r="K41" s="71" t="str">
        <f>IF(AND('MAPA V5 2022'!$AA$35="Baja",'MAPA V5 2022'!$AC$35="Leve"),CONCATENATE("R6C",'MAPA V5 2022'!$Q$35),"")</f>
        <v/>
      </c>
      <c r="L41" s="71" t="e">
        <f>IF(AND('MAPA V5 2022'!#REF!="Baja",'MAPA V5 2022'!#REF!="Leve"),CONCATENATE("R6C",'MAPA V5 2022'!#REF!),"")</f>
        <v>#REF!</v>
      </c>
      <c r="M41" s="71" t="str">
        <f>IF(AND('MAPA V5 2022'!$AA$36="Baja",'MAPA V5 2022'!$AC$36="Leve"),CONCATENATE("R6C",'MAPA V5 2022'!$Q$36),"")</f>
        <v/>
      </c>
      <c r="N41" s="71" t="str">
        <f>IF(AND('MAPA V5 2022'!$AA$37="Baja",'MAPA V5 2022'!$AC$37="Leve"),CONCATENATE("R6C",'MAPA V5 2022'!$Q$37),"")</f>
        <v/>
      </c>
      <c r="O41" s="72" t="str">
        <f>IF(AND('MAPA V5 2022'!$AA$38="Baja",'MAPA V5 2022'!$AC$38="Leve"),CONCATENATE("R6C",'MAPA V5 2022'!$Q$38),"")</f>
        <v/>
      </c>
      <c r="P41" s="61" t="e">
        <f>IF(AND('MAPA V5 2022'!#REF!="Baja",'MAPA V5 2022'!#REF!="Menor"),CONCATENATE("R6C",'MAPA V5 2022'!#REF!),"")</f>
        <v>#REF!</v>
      </c>
      <c r="Q41" s="62" t="str">
        <f>IF(AND('MAPA V5 2022'!$AA$35="Baja",'MAPA V5 2022'!$AC$35="Menor"),CONCATENATE("R6C",'MAPA V5 2022'!$Q$35),"")</f>
        <v/>
      </c>
      <c r="R41" s="62" t="e">
        <f>IF(AND('MAPA V5 2022'!#REF!="Baja",'MAPA V5 2022'!#REF!="Menor"),CONCATENATE("R6C",'MAPA V5 2022'!#REF!),"")</f>
        <v>#REF!</v>
      </c>
      <c r="S41" s="62" t="str">
        <f>IF(AND('MAPA V5 2022'!$AA$36="Baja",'MAPA V5 2022'!$AC$36="Menor"),CONCATENATE("R6C",'MAPA V5 2022'!$Q$36),"")</f>
        <v/>
      </c>
      <c r="T41" s="62" t="str">
        <f>IF(AND('MAPA V5 2022'!$AA$37="Baja",'MAPA V5 2022'!$AC$37="Menor"),CONCATENATE("R6C",'MAPA V5 2022'!$Q$37),"")</f>
        <v/>
      </c>
      <c r="U41" s="63" t="str">
        <f>IF(AND('MAPA V5 2022'!$AA$38="Baja",'MAPA V5 2022'!$AC$38="Menor"),CONCATENATE("R6C",'MAPA V5 2022'!$Q$38),"")</f>
        <v/>
      </c>
      <c r="V41" s="61" t="e">
        <f>IF(AND('MAPA V5 2022'!#REF!="Baja",'MAPA V5 2022'!#REF!="Moderado"),CONCATENATE("R6C",'MAPA V5 2022'!#REF!),"")</f>
        <v>#REF!</v>
      </c>
      <c r="W41" s="62" t="str">
        <f>IF(AND('MAPA V5 2022'!$AA$35="Baja",'MAPA V5 2022'!$AC$35="Moderado"),CONCATENATE("R6C",'MAPA V5 2022'!$Q$35),"")</f>
        <v>R6C1</v>
      </c>
      <c r="X41" s="62" t="e">
        <f>IF(AND('MAPA V5 2022'!#REF!="Baja",'MAPA V5 2022'!#REF!="Moderado"),CONCATENATE("R6C",'MAPA V5 2022'!#REF!),"")</f>
        <v>#REF!</v>
      </c>
      <c r="Y41" s="62" t="str">
        <f>IF(AND('MAPA V5 2022'!$AA$36="Baja",'MAPA V5 2022'!$AC$36="Moderado"),CONCATENATE("R6C",'MAPA V5 2022'!$Q$36),"")</f>
        <v/>
      </c>
      <c r="Z41" s="62" t="str">
        <f>IF(AND('MAPA V5 2022'!$AA$37="Baja",'MAPA V5 2022'!$AC$37="Moderado"),CONCATENATE("R6C",'MAPA V5 2022'!$Q$37),"")</f>
        <v>R6C1</v>
      </c>
      <c r="AA41" s="63" t="str">
        <f>IF(AND('MAPA V5 2022'!$AA$38="Baja",'MAPA V5 2022'!$AC$38="Moderado"),CONCATENATE("R6C",'MAPA V5 2022'!$Q$38),"")</f>
        <v/>
      </c>
      <c r="AB41" s="45" t="e">
        <f>IF(AND('MAPA V5 2022'!#REF!="Baja",'MAPA V5 2022'!#REF!="Mayor"),CONCATENATE("R6C",'MAPA V5 2022'!#REF!),"")</f>
        <v>#REF!</v>
      </c>
      <c r="AC41" s="46" t="str">
        <f>IF(AND('MAPA V5 2022'!$AA$35="Baja",'MAPA V5 2022'!$AC$35="Mayor"),CONCATENATE("R6C",'MAPA V5 2022'!$Q$35),"")</f>
        <v/>
      </c>
      <c r="AD41" s="51" t="e">
        <f>IF(AND('MAPA V5 2022'!#REF!="Baja",'MAPA V5 2022'!#REF!="Mayor"),CONCATENATE("R6C",'MAPA V5 2022'!#REF!),"")</f>
        <v>#REF!</v>
      </c>
      <c r="AE41" s="51" t="str">
        <f>IF(AND('MAPA V5 2022'!$AA$36="Baja",'MAPA V5 2022'!$AC$36="Mayor"),CONCATENATE("R6C",'MAPA V5 2022'!$Q$36),"")</f>
        <v/>
      </c>
      <c r="AF41" s="51" t="str">
        <f>IF(AND('MAPA V5 2022'!$AA$37="Baja",'MAPA V5 2022'!$AC$37="Mayor"),CONCATENATE("R6C",'MAPA V5 2022'!$Q$37),"")</f>
        <v/>
      </c>
      <c r="AG41" s="47" t="str">
        <f>IF(AND('MAPA V5 2022'!$AA$38="Baja",'MAPA V5 2022'!$AC$38="Mayor"),CONCATENATE("R6C",'MAPA V5 2022'!$Q$38),"")</f>
        <v/>
      </c>
      <c r="AH41" s="48" t="e">
        <f>IF(AND('MAPA V5 2022'!#REF!="Baja",'MAPA V5 2022'!#REF!="Catastrófico"),CONCATENATE("R6C",'MAPA V5 2022'!#REF!),"")</f>
        <v>#REF!</v>
      </c>
      <c r="AI41" s="49" t="str">
        <f>IF(AND('MAPA V5 2022'!$AA$35="Baja",'MAPA V5 2022'!$AC$35="Catastrófico"),CONCATENATE("R6C",'MAPA V5 2022'!$Q$35),"")</f>
        <v/>
      </c>
      <c r="AJ41" s="49" t="e">
        <f>IF(AND('MAPA V5 2022'!#REF!="Baja",'MAPA V5 2022'!#REF!="Catastrófico"),CONCATENATE("R6C",'MAPA V5 2022'!#REF!),"")</f>
        <v>#REF!</v>
      </c>
      <c r="AK41" s="49" t="str">
        <f>IF(AND('MAPA V5 2022'!$AA$36="Baja",'MAPA V5 2022'!$AC$36="Catastrófico"),CONCATENATE("R6C",'MAPA V5 2022'!$Q$36),"")</f>
        <v/>
      </c>
      <c r="AL41" s="49" t="str">
        <f>IF(AND('MAPA V5 2022'!$AA$37="Baja",'MAPA V5 2022'!$AC$37="Catastrófico"),CONCATENATE("R6C",'MAPA V5 2022'!$Q$37),"")</f>
        <v/>
      </c>
      <c r="AM41" s="50" t="str">
        <f>IF(AND('MAPA V5 2022'!$AA$38="Baja",'MAPA V5 2022'!$AC$38="Catastrófico"),CONCATENATE("R6C",'MAPA V5 2022'!$Q$38),"")</f>
        <v/>
      </c>
      <c r="AN41" s="77"/>
      <c r="AO41" s="432"/>
      <c r="AP41" s="433"/>
      <c r="AQ41" s="433"/>
      <c r="AR41" s="433"/>
      <c r="AS41" s="433"/>
      <c r="AT41" s="434"/>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77"/>
      <c r="BS41" s="77"/>
      <c r="BT41" s="77"/>
      <c r="BU41" s="77"/>
      <c r="BV41" s="77"/>
      <c r="BW41" s="77"/>
      <c r="BX41" s="77"/>
    </row>
    <row r="42" spans="1:80" ht="15" customHeight="1" x14ac:dyDescent="0.25">
      <c r="A42" s="77"/>
      <c r="B42" s="310"/>
      <c r="C42" s="310"/>
      <c r="D42" s="311"/>
      <c r="E42" s="411"/>
      <c r="F42" s="412"/>
      <c r="G42" s="412"/>
      <c r="H42" s="412"/>
      <c r="I42" s="410"/>
      <c r="J42" s="70" t="e">
        <f>IF(AND('MAPA V5 2022'!#REF!="Baja",'MAPA V5 2022'!#REF!="Leve"),CONCATENATE("R7C",'MAPA V5 2022'!#REF!),"")</f>
        <v>#REF!</v>
      </c>
      <c r="K42" s="71" t="str">
        <f>IF(AND('MAPA V5 2022'!$AA$39="Baja",'MAPA V5 2022'!$AC$39="Leve"),CONCATENATE("R7C",'MAPA V5 2022'!$Q$39),"")</f>
        <v/>
      </c>
      <c r="L42" s="71" t="str">
        <f>IF(AND('MAPA V5 2022'!$AA$40="Baja",'MAPA V5 2022'!$AC$40="Leve"),CONCATENATE("R7C",'MAPA V5 2022'!$Q$40),"")</f>
        <v/>
      </c>
      <c r="M42" s="71" t="e">
        <f>IF(AND('MAPA V5 2022'!#REF!="Baja",'MAPA V5 2022'!#REF!="Leve"),CONCATENATE("R7C",'MAPA V5 2022'!#REF!),"")</f>
        <v>#REF!</v>
      </c>
      <c r="N42" s="71" t="str">
        <f>IF(AND('MAPA V5 2022'!$AA$41="Baja",'MAPA V5 2022'!$AC$41="Leve"),CONCATENATE("R7C",'MAPA V5 2022'!$Q$41),"")</f>
        <v>R7C1</v>
      </c>
      <c r="O42" s="72" t="e">
        <f>IF(AND('MAPA V5 2022'!#REF!="Baja",'MAPA V5 2022'!#REF!="Leve"),CONCATENATE("R7C",'MAPA V5 2022'!#REF!),"")</f>
        <v>#REF!</v>
      </c>
      <c r="P42" s="61" t="e">
        <f>IF(AND('MAPA V5 2022'!#REF!="Baja",'MAPA V5 2022'!#REF!="Menor"),CONCATENATE("R7C",'MAPA V5 2022'!#REF!),"")</f>
        <v>#REF!</v>
      </c>
      <c r="Q42" s="62" t="str">
        <f>IF(AND('MAPA V5 2022'!$AA$39="Baja",'MAPA V5 2022'!$AC$39="Menor"),CONCATENATE("R7C",'MAPA V5 2022'!$Q$39),"")</f>
        <v/>
      </c>
      <c r="R42" s="62" t="str">
        <f>IF(AND('MAPA V5 2022'!$AA$40="Baja",'MAPA V5 2022'!$AC$40="Menor"),CONCATENATE("R7C",'MAPA V5 2022'!$Q$40),"")</f>
        <v/>
      </c>
      <c r="S42" s="62" t="e">
        <f>IF(AND('MAPA V5 2022'!#REF!="Baja",'MAPA V5 2022'!#REF!="Menor"),CONCATENATE("R7C",'MAPA V5 2022'!#REF!),"")</f>
        <v>#REF!</v>
      </c>
      <c r="T42" s="62" t="str">
        <f>IF(AND('MAPA V5 2022'!$AA$41="Baja",'MAPA V5 2022'!$AC$41="Menor"),CONCATENATE("R7C",'MAPA V5 2022'!$Q$41),"")</f>
        <v/>
      </c>
      <c r="U42" s="63" t="e">
        <f>IF(AND('MAPA V5 2022'!#REF!="Baja",'MAPA V5 2022'!#REF!="Menor"),CONCATENATE("R7C",'MAPA V5 2022'!#REF!),"")</f>
        <v>#REF!</v>
      </c>
      <c r="V42" s="61" t="e">
        <f>IF(AND('MAPA V5 2022'!#REF!="Baja",'MAPA V5 2022'!#REF!="Moderado"),CONCATENATE("R7C",'MAPA V5 2022'!#REF!),"")</f>
        <v>#REF!</v>
      </c>
      <c r="W42" s="62" t="str">
        <f>IF(AND('MAPA V5 2022'!$AA$39="Baja",'MAPA V5 2022'!$AC$39="Moderado"),CONCATENATE("R7C",'MAPA V5 2022'!$Q$39),"")</f>
        <v/>
      </c>
      <c r="X42" s="62" t="str">
        <f>IF(AND('MAPA V5 2022'!$AA$40="Baja",'MAPA V5 2022'!$AC$40="Moderado"),CONCATENATE("R7C",'MAPA V5 2022'!$Q$40),"")</f>
        <v>R7C1</v>
      </c>
      <c r="Y42" s="62" t="e">
        <f>IF(AND('MAPA V5 2022'!#REF!="Baja",'MAPA V5 2022'!#REF!="Moderado"),CONCATENATE("R7C",'MAPA V5 2022'!#REF!),"")</f>
        <v>#REF!</v>
      </c>
      <c r="Z42" s="62" t="str">
        <f>IF(AND('MAPA V5 2022'!$AA$41="Baja",'MAPA V5 2022'!$AC$41="Moderado"),CONCATENATE("R7C",'MAPA V5 2022'!$Q$41),"")</f>
        <v/>
      </c>
      <c r="AA42" s="63" t="e">
        <f>IF(AND('MAPA V5 2022'!#REF!="Baja",'MAPA V5 2022'!#REF!="Moderado"),CONCATENATE("R7C",'MAPA V5 2022'!#REF!),"")</f>
        <v>#REF!</v>
      </c>
      <c r="AB42" s="45" t="e">
        <f>IF(AND('MAPA V5 2022'!#REF!="Baja",'MAPA V5 2022'!#REF!="Mayor"),CONCATENATE("R7C",'MAPA V5 2022'!#REF!),"")</f>
        <v>#REF!</v>
      </c>
      <c r="AC42" s="46" t="str">
        <f>IF(AND('MAPA V5 2022'!$AA$39="Baja",'MAPA V5 2022'!$AC$39="Mayor"),CONCATENATE("R7C",'MAPA V5 2022'!$Q$39),"")</f>
        <v/>
      </c>
      <c r="AD42" s="51" t="str">
        <f>IF(AND('MAPA V5 2022'!$AA$40="Baja",'MAPA V5 2022'!$AC$40="Mayor"),CONCATENATE("R7C",'MAPA V5 2022'!$Q$40),"")</f>
        <v/>
      </c>
      <c r="AE42" s="51" t="e">
        <f>IF(AND('MAPA V5 2022'!#REF!="Baja",'MAPA V5 2022'!#REF!="Mayor"),CONCATENATE("R7C",'MAPA V5 2022'!#REF!),"")</f>
        <v>#REF!</v>
      </c>
      <c r="AF42" s="51" t="str">
        <f>IF(AND('MAPA V5 2022'!$AA$41="Baja",'MAPA V5 2022'!$AC$41="Mayor"),CONCATENATE("R7C",'MAPA V5 2022'!$Q$41),"")</f>
        <v/>
      </c>
      <c r="AG42" s="47" t="e">
        <f>IF(AND('MAPA V5 2022'!#REF!="Baja",'MAPA V5 2022'!#REF!="Mayor"),CONCATENATE("R7C",'MAPA V5 2022'!#REF!),"")</f>
        <v>#REF!</v>
      </c>
      <c r="AH42" s="48" t="e">
        <f>IF(AND('MAPA V5 2022'!#REF!="Baja",'MAPA V5 2022'!#REF!="Catastrófico"),CONCATENATE("R7C",'MAPA V5 2022'!#REF!),"")</f>
        <v>#REF!</v>
      </c>
      <c r="AI42" s="49" t="str">
        <f>IF(AND('MAPA V5 2022'!$AA$39="Baja",'MAPA V5 2022'!$AC$39="Catastrófico"),CONCATENATE("R7C",'MAPA V5 2022'!$Q$39),"")</f>
        <v/>
      </c>
      <c r="AJ42" s="49" t="str">
        <f>IF(AND('MAPA V5 2022'!$AA$40="Baja",'MAPA V5 2022'!$AC$40="Catastrófico"),CONCATENATE("R7C",'MAPA V5 2022'!$Q$40),"")</f>
        <v/>
      </c>
      <c r="AK42" s="49" t="e">
        <f>IF(AND('MAPA V5 2022'!#REF!="Baja",'MAPA V5 2022'!#REF!="Catastrófico"),CONCATENATE("R7C",'MAPA V5 2022'!#REF!),"")</f>
        <v>#REF!</v>
      </c>
      <c r="AL42" s="49" t="str">
        <f>IF(AND('MAPA V5 2022'!$AA$41="Baja",'MAPA V5 2022'!$AC$41="Catastrófico"),CONCATENATE("R7C",'MAPA V5 2022'!$Q$41),"")</f>
        <v/>
      </c>
      <c r="AM42" s="50" t="e">
        <f>IF(AND('MAPA V5 2022'!#REF!="Baja",'MAPA V5 2022'!#REF!="Catastrófico"),CONCATENATE("R7C",'MAPA V5 2022'!#REF!),"")</f>
        <v>#REF!</v>
      </c>
      <c r="AN42" s="77"/>
      <c r="AO42" s="432"/>
      <c r="AP42" s="433"/>
      <c r="AQ42" s="433"/>
      <c r="AR42" s="433"/>
      <c r="AS42" s="433"/>
      <c r="AT42" s="434"/>
      <c r="AU42" s="77"/>
      <c r="AV42" s="77"/>
      <c r="AW42" s="77"/>
      <c r="AX42" s="77"/>
      <c r="AY42" s="77"/>
      <c r="AZ42" s="77"/>
      <c r="BA42" s="77"/>
      <c r="BB42" s="77"/>
      <c r="BC42" s="77"/>
      <c r="BD42" s="77"/>
      <c r="BE42" s="77"/>
      <c r="BF42" s="77"/>
      <c r="BG42" s="77"/>
      <c r="BH42" s="77"/>
      <c r="BI42" s="77"/>
      <c r="BJ42" s="77"/>
      <c r="BK42" s="77"/>
      <c r="BL42" s="77"/>
      <c r="BM42" s="77"/>
      <c r="BN42" s="77"/>
      <c r="BO42" s="77"/>
      <c r="BP42" s="77"/>
      <c r="BQ42" s="77"/>
      <c r="BR42" s="77"/>
      <c r="BS42" s="77"/>
      <c r="BT42" s="77"/>
      <c r="BU42" s="77"/>
      <c r="BV42" s="77"/>
      <c r="BW42" s="77"/>
      <c r="BX42" s="77"/>
    </row>
    <row r="43" spans="1:80" ht="15" customHeight="1" x14ac:dyDescent="0.25">
      <c r="A43" s="77"/>
      <c r="B43" s="310"/>
      <c r="C43" s="310"/>
      <c r="D43" s="311"/>
      <c r="E43" s="411"/>
      <c r="F43" s="412"/>
      <c r="G43" s="412"/>
      <c r="H43" s="412"/>
      <c r="I43" s="410"/>
      <c r="J43" s="70" t="e">
        <f>IF(AND('MAPA V5 2022'!#REF!="Baja",'MAPA V5 2022'!#REF!="Leve"),CONCATENATE("R8C",'MAPA V5 2022'!#REF!),"")</f>
        <v>#REF!</v>
      </c>
      <c r="K43" s="71" t="e">
        <f>IF(AND('MAPA V5 2022'!#REF!="Baja",'MAPA V5 2022'!#REF!="Leve"),CONCATENATE("R8C",'MAPA V5 2022'!#REF!),"")</f>
        <v>#REF!</v>
      </c>
      <c r="L43" s="71" t="str">
        <f>IF(AND('MAPA V5 2022'!$AA$42="Baja",'MAPA V5 2022'!$AC$42="Leve"),CONCATENATE("R8C",'MAPA V5 2022'!$Q$42),"")</f>
        <v/>
      </c>
      <c r="M43" s="71" t="str">
        <f>IF(AND('MAPA V5 2022'!$AA$43="Baja",'MAPA V5 2022'!$AC$43="Leve"),CONCATENATE("R8C",'MAPA V5 2022'!$Q$43),"")</f>
        <v/>
      </c>
      <c r="N43" s="71" t="e">
        <f>IF(AND('MAPA V5 2022'!#REF!="Baja",'MAPA V5 2022'!#REF!="Leve"),CONCATENATE("R8C",'MAPA V5 2022'!#REF!),"")</f>
        <v>#REF!</v>
      </c>
      <c r="O43" s="72" t="e">
        <f>IF(AND('MAPA V5 2022'!#REF!="Baja",'MAPA V5 2022'!#REF!="Leve"),CONCATENATE("R8C",'MAPA V5 2022'!#REF!),"")</f>
        <v>#REF!</v>
      </c>
      <c r="P43" s="61" t="e">
        <f>IF(AND('MAPA V5 2022'!#REF!="Baja",'MAPA V5 2022'!#REF!="Menor"),CONCATENATE("R8C",'MAPA V5 2022'!#REF!),"")</f>
        <v>#REF!</v>
      </c>
      <c r="Q43" s="62" t="e">
        <f>IF(AND('MAPA V5 2022'!#REF!="Baja",'MAPA V5 2022'!#REF!="Menor"),CONCATENATE("R8C",'MAPA V5 2022'!#REF!),"")</f>
        <v>#REF!</v>
      </c>
      <c r="R43" s="62" t="str">
        <f>IF(AND('MAPA V5 2022'!$AA$42="Baja",'MAPA V5 2022'!$AC$42="Menor"),CONCATENATE("R8C",'MAPA V5 2022'!$Q$42),"")</f>
        <v/>
      </c>
      <c r="S43" s="62" t="str">
        <f>IF(AND('MAPA V5 2022'!$AA$43="Baja",'MAPA V5 2022'!$AC$43="Menor"),CONCATENATE("R8C",'MAPA V5 2022'!$Q$43),"")</f>
        <v/>
      </c>
      <c r="T43" s="62" t="e">
        <f>IF(AND('MAPA V5 2022'!#REF!="Baja",'MAPA V5 2022'!#REF!="Menor"),CONCATENATE("R8C",'MAPA V5 2022'!#REF!),"")</f>
        <v>#REF!</v>
      </c>
      <c r="U43" s="63" t="e">
        <f>IF(AND('MAPA V5 2022'!#REF!="Baja",'MAPA V5 2022'!#REF!="Menor"),CONCATENATE("R8C",'MAPA V5 2022'!#REF!),"")</f>
        <v>#REF!</v>
      </c>
      <c r="V43" s="61" t="e">
        <f>IF(AND('MAPA V5 2022'!#REF!="Baja",'MAPA V5 2022'!#REF!="Moderado"),CONCATENATE("R8C",'MAPA V5 2022'!#REF!),"")</f>
        <v>#REF!</v>
      </c>
      <c r="W43" s="62" t="e">
        <f>IF(AND('MAPA V5 2022'!#REF!="Baja",'MAPA V5 2022'!#REF!="Moderado"),CONCATENATE("R8C",'MAPA V5 2022'!#REF!),"")</f>
        <v>#REF!</v>
      </c>
      <c r="X43" s="62" t="str">
        <f>IF(AND('MAPA V5 2022'!$AA$42="Baja",'MAPA V5 2022'!$AC$42="Moderado"),CONCATENATE("R8C",'MAPA V5 2022'!$Q$42),"")</f>
        <v>R8C1</v>
      </c>
      <c r="Y43" s="62" t="str">
        <f>IF(AND('MAPA V5 2022'!$AA$43="Baja",'MAPA V5 2022'!$AC$43="Moderado"),CONCATENATE("R8C",'MAPA V5 2022'!$Q$43),"")</f>
        <v/>
      </c>
      <c r="Z43" s="62" t="e">
        <f>IF(AND('MAPA V5 2022'!#REF!="Baja",'MAPA V5 2022'!#REF!="Moderado"),CONCATENATE("R8C",'MAPA V5 2022'!#REF!),"")</f>
        <v>#REF!</v>
      </c>
      <c r="AA43" s="63" t="e">
        <f>IF(AND('MAPA V5 2022'!#REF!="Baja",'MAPA V5 2022'!#REF!="Moderado"),CONCATENATE("R8C",'MAPA V5 2022'!#REF!),"")</f>
        <v>#REF!</v>
      </c>
      <c r="AB43" s="45" t="e">
        <f>IF(AND('MAPA V5 2022'!#REF!="Baja",'MAPA V5 2022'!#REF!="Mayor"),CONCATENATE("R8C",'MAPA V5 2022'!#REF!),"")</f>
        <v>#REF!</v>
      </c>
      <c r="AC43" s="46" t="e">
        <f>IF(AND('MAPA V5 2022'!#REF!="Baja",'MAPA V5 2022'!#REF!="Mayor"),CONCATENATE("R8C",'MAPA V5 2022'!#REF!),"")</f>
        <v>#REF!</v>
      </c>
      <c r="AD43" s="51" t="str">
        <f>IF(AND('MAPA V5 2022'!$AA$42="Baja",'MAPA V5 2022'!$AC$42="Mayor"),CONCATENATE("R8C",'MAPA V5 2022'!$Q$42),"")</f>
        <v/>
      </c>
      <c r="AE43" s="51" t="str">
        <f>IF(AND('MAPA V5 2022'!$AA$43="Baja",'MAPA V5 2022'!$AC$43="Mayor"),CONCATENATE("R8C",'MAPA V5 2022'!$Q$43),"")</f>
        <v/>
      </c>
      <c r="AF43" s="51" t="e">
        <f>IF(AND('MAPA V5 2022'!#REF!="Baja",'MAPA V5 2022'!#REF!="Mayor"),CONCATENATE("R8C",'MAPA V5 2022'!#REF!),"")</f>
        <v>#REF!</v>
      </c>
      <c r="AG43" s="47" t="e">
        <f>IF(AND('MAPA V5 2022'!#REF!="Baja",'MAPA V5 2022'!#REF!="Mayor"),CONCATENATE("R8C",'MAPA V5 2022'!#REF!),"")</f>
        <v>#REF!</v>
      </c>
      <c r="AH43" s="48" t="e">
        <f>IF(AND('MAPA V5 2022'!#REF!="Baja",'MAPA V5 2022'!#REF!="Catastrófico"),CONCATENATE("R8C",'MAPA V5 2022'!#REF!),"")</f>
        <v>#REF!</v>
      </c>
      <c r="AI43" s="49" t="e">
        <f>IF(AND('MAPA V5 2022'!#REF!="Baja",'MAPA V5 2022'!#REF!="Catastrófico"),CONCATENATE("R8C",'MAPA V5 2022'!#REF!),"")</f>
        <v>#REF!</v>
      </c>
      <c r="AJ43" s="49" t="str">
        <f>IF(AND('MAPA V5 2022'!$AA$42="Baja",'MAPA V5 2022'!$AC$42="Catastrófico"),CONCATENATE("R8C",'MAPA V5 2022'!$Q$42),"")</f>
        <v/>
      </c>
      <c r="AK43" s="49" t="str">
        <f>IF(AND('MAPA V5 2022'!$AA$43="Baja",'MAPA V5 2022'!$AC$43="Catastrófico"),CONCATENATE("R8C",'MAPA V5 2022'!$Q$43),"")</f>
        <v/>
      </c>
      <c r="AL43" s="49" t="e">
        <f>IF(AND('MAPA V5 2022'!#REF!="Baja",'MAPA V5 2022'!#REF!="Catastrófico"),CONCATENATE("R8C",'MAPA V5 2022'!#REF!),"")</f>
        <v>#REF!</v>
      </c>
      <c r="AM43" s="50" t="e">
        <f>IF(AND('MAPA V5 2022'!#REF!="Baja",'MAPA V5 2022'!#REF!="Catastrófico"),CONCATENATE("R8C",'MAPA V5 2022'!#REF!),"")</f>
        <v>#REF!</v>
      </c>
      <c r="AN43" s="77"/>
      <c r="AO43" s="432"/>
      <c r="AP43" s="433"/>
      <c r="AQ43" s="433"/>
      <c r="AR43" s="433"/>
      <c r="AS43" s="433"/>
      <c r="AT43" s="434"/>
      <c r="AU43" s="77"/>
      <c r="AV43" s="77"/>
      <c r="AW43" s="77"/>
      <c r="AX43" s="77"/>
      <c r="AY43" s="77"/>
      <c r="AZ43" s="77"/>
      <c r="BA43" s="77"/>
      <c r="BB43" s="77"/>
      <c r="BC43" s="77"/>
      <c r="BD43" s="77"/>
      <c r="BE43" s="77"/>
      <c r="BF43" s="77"/>
      <c r="BG43" s="77"/>
      <c r="BH43" s="77"/>
      <c r="BI43" s="77"/>
      <c r="BJ43" s="77"/>
      <c r="BK43" s="77"/>
      <c r="BL43" s="77"/>
      <c r="BM43" s="77"/>
      <c r="BN43" s="77"/>
      <c r="BO43" s="77"/>
      <c r="BP43" s="77"/>
      <c r="BQ43" s="77"/>
      <c r="BR43" s="77"/>
      <c r="BS43" s="77"/>
      <c r="BT43" s="77"/>
      <c r="BU43" s="77"/>
      <c r="BV43" s="77"/>
      <c r="BW43" s="77"/>
      <c r="BX43" s="77"/>
    </row>
    <row r="44" spans="1:80" ht="15" customHeight="1" x14ac:dyDescent="0.25">
      <c r="A44" s="77"/>
      <c r="B44" s="310"/>
      <c r="C44" s="310"/>
      <c r="D44" s="311"/>
      <c r="E44" s="411"/>
      <c r="F44" s="412"/>
      <c r="G44" s="412"/>
      <c r="H44" s="412"/>
      <c r="I44" s="410"/>
      <c r="J44" s="70" t="str">
        <f>IF(AND('MAPA V5 2022'!$AA$44="Baja",'MAPA V5 2022'!$AC$44="Leve"),CONCATENATE("R9C",'MAPA V5 2022'!$Q$44),"")</f>
        <v/>
      </c>
      <c r="K44" s="71" t="str">
        <f>IF(AND('MAPA V5 2022'!$AA$45="Baja",'MAPA V5 2022'!$AC$45="Leve"),CONCATENATE("R9C",'MAPA V5 2022'!$Q$45),"")</f>
        <v/>
      </c>
      <c r="L44" s="71" t="e">
        <f>IF(AND('MAPA V5 2022'!#REF!="Baja",'MAPA V5 2022'!#REF!="Leve"),CONCATENATE("R9C",'MAPA V5 2022'!#REF!),"")</f>
        <v>#REF!</v>
      </c>
      <c r="M44" s="71" t="e">
        <f>IF(AND('MAPA V5 2022'!#REF!="Baja",'MAPA V5 2022'!#REF!="Leve"),CONCATENATE("R9C",'MAPA V5 2022'!#REF!),"")</f>
        <v>#REF!</v>
      </c>
      <c r="N44" s="71" t="str">
        <f>IF(AND('MAPA V5 2022'!$AA$46="Baja",'MAPA V5 2022'!$AC$46="Leve"),CONCATENATE("R9C",'MAPA V5 2022'!$Q$46),"")</f>
        <v/>
      </c>
      <c r="O44" s="72" t="e">
        <f>IF(AND('MAPA V5 2022'!#REF!="Baja",'MAPA V5 2022'!#REF!="Leve"),CONCATENATE("R9C",'MAPA V5 2022'!#REF!),"")</f>
        <v>#REF!</v>
      </c>
      <c r="P44" s="61" t="str">
        <f>IF(AND('MAPA V5 2022'!$AA$44="Baja",'MAPA V5 2022'!$AC$44="Menor"),CONCATENATE("R9C",'MAPA V5 2022'!$Q$44),"")</f>
        <v/>
      </c>
      <c r="Q44" s="62" t="str">
        <f>IF(AND('MAPA V5 2022'!$AA$45="Baja",'MAPA V5 2022'!$AC$45="Menor"),CONCATENATE("R9C",'MAPA V5 2022'!$Q$45),"")</f>
        <v/>
      </c>
      <c r="R44" s="62" t="e">
        <f>IF(AND('MAPA V5 2022'!#REF!="Baja",'MAPA V5 2022'!#REF!="Menor"),CONCATENATE("R9C",'MAPA V5 2022'!#REF!),"")</f>
        <v>#REF!</v>
      </c>
      <c r="S44" s="62" t="e">
        <f>IF(AND('MAPA V5 2022'!#REF!="Baja",'MAPA V5 2022'!#REF!="Menor"),CONCATENATE("R9C",'MAPA V5 2022'!#REF!),"")</f>
        <v>#REF!</v>
      </c>
      <c r="T44" s="62" t="str">
        <f>IF(AND('MAPA V5 2022'!$AA$46="Baja",'MAPA V5 2022'!$AC$46="Menor"),CONCATENATE("R9C",'MAPA V5 2022'!$Q$46),"")</f>
        <v/>
      </c>
      <c r="U44" s="63" t="e">
        <f>IF(AND('MAPA V5 2022'!#REF!="Baja",'MAPA V5 2022'!#REF!="Menor"),CONCATENATE("R9C",'MAPA V5 2022'!#REF!),"")</f>
        <v>#REF!</v>
      </c>
      <c r="V44" s="61" t="str">
        <f>IF(AND('MAPA V5 2022'!$AA$44="Baja",'MAPA V5 2022'!$AC$44="Moderado"),CONCATENATE("R9C",'MAPA V5 2022'!$Q$44),"")</f>
        <v>R9C1</v>
      </c>
      <c r="W44" s="62" t="str">
        <f>IF(AND('MAPA V5 2022'!$AA$45="Baja",'MAPA V5 2022'!$AC$45="Moderado"),CONCATENATE("R9C",'MAPA V5 2022'!$Q$45),"")</f>
        <v>R9C1</v>
      </c>
      <c r="X44" s="62" t="e">
        <f>IF(AND('MAPA V5 2022'!#REF!="Baja",'MAPA V5 2022'!#REF!="Moderado"),CONCATENATE("R9C",'MAPA V5 2022'!#REF!),"")</f>
        <v>#REF!</v>
      </c>
      <c r="Y44" s="62" t="e">
        <f>IF(AND('MAPA V5 2022'!#REF!="Baja",'MAPA V5 2022'!#REF!="Moderado"),CONCATENATE("R9C",'MAPA V5 2022'!#REF!),"")</f>
        <v>#REF!</v>
      </c>
      <c r="Z44" s="62" t="str">
        <f>IF(AND('MAPA V5 2022'!$AA$46="Baja",'MAPA V5 2022'!$AC$46="Moderado"),CONCATENATE("R9C",'MAPA V5 2022'!$Q$46),"")</f>
        <v>R9C1</v>
      </c>
      <c r="AA44" s="63" t="e">
        <f>IF(AND('MAPA V5 2022'!#REF!="Baja",'MAPA V5 2022'!#REF!="Moderado"),CONCATENATE("R9C",'MAPA V5 2022'!#REF!),"")</f>
        <v>#REF!</v>
      </c>
      <c r="AB44" s="45" t="str">
        <f>IF(AND('MAPA V5 2022'!$AA$44="Baja",'MAPA V5 2022'!$AC$44="Mayor"),CONCATENATE("R9C",'MAPA V5 2022'!$Q$44),"")</f>
        <v/>
      </c>
      <c r="AC44" s="46" t="str">
        <f>IF(AND('MAPA V5 2022'!$AA$45="Baja",'MAPA V5 2022'!$AC$45="Mayor"),CONCATENATE("R9C",'MAPA V5 2022'!$Q$45),"")</f>
        <v/>
      </c>
      <c r="AD44" s="51" t="e">
        <f>IF(AND('MAPA V5 2022'!#REF!="Baja",'MAPA V5 2022'!#REF!="Mayor"),CONCATENATE("R9C",'MAPA V5 2022'!#REF!),"")</f>
        <v>#REF!</v>
      </c>
      <c r="AE44" s="51" t="e">
        <f>IF(AND('MAPA V5 2022'!#REF!="Baja",'MAPA V5 2022'!#REF!="Mayor"),CONCATENATE("R9C",'MAPA V5 2022'!#REF!),"")</f>
        <v>#REF!</v>
      </c>
      <c r="AF44" s="51" t="str">
        <f>IF(AND('MAPA V5 2022'!$AA$46="Baja",'MAPA V5 2022'!$AC$46="Mayor"),CONCATENATE("R9C",'MAPA V5 2022'!$Q$46),"")</f>
        <v/>
      </c>
      <c r="AG44" s="47" t="e">
        <f>IF(AND('MAPA V5 2022'!#REF!="Baja",'MAPA V5 2022'!#REF!="Mayor"),CONCATENATE("R9C",'MAPA V5 2022'!#REF!),"")</f>
        <v>#REF!</v>
      </c>
      <c r="AH44" s="48" t="str">
        <f>IF(AND('MAPA V5 2022'!$AA$44="Baja",'MAPA V5 2022'!$AC$44="Catastrófico"),CONCATENATE("R9C",'MAPA V5 2022'!$Q$44),"")</f>
        <v/>
      </c>
      <c r="AI44" s="49" t="str">
        <f>IF(AND('MAPA V5 2022'!$AA$45="Baja",'MAPA V5 2022'!$AC$45="Catastrófico"),CONCATENATE("R9C",'MAPA V5 2022'!$Q$45),"")</f>
        <v/>
      </c>
      <c r="AJ44" s="49" t="e">
        <f>IF(AND('MAPA V5 2022'!#REF!="Baja",'MAPA V5 2022'!#REF!="Catastrófico"),CONCATENATE("R9C",'MAPA V5 2022'!#REF!),"")</f>
        <v>#REF!</v>
      </c>
      <c r="AK44" s="49" t="e">
        <f>IF(AND('MAPA V5 2022'!#REF!="Baja",'MAPA V5 2022'!#REF!="Catastrófico"),CONCATENATE("R9C",'MAPA V5 2022'!#REF!),"")</f>
        <v>#REF!</v>
      </c>
      <c r="AL44" s="49" t="str">
        <f>IF(AND('MAPA V5 2022'!$AA$46="Baja",'MAPA V5 2022'!$AC$46="Catastrófico"),CONCATENATE("R9C",'MAPA V5 2022'!$Q$46),"")</f>
        <v/>
      </c>
      <c r="AM44" s="50" t="e">
        <f>IF(AND('MAPA V5 2022'!#REF!="Baja",'MAPA V5 2022'!#REF!="Catastrófico"),CONCATENATE("R9C",'MAPA V5 2022'!#REF!),"")</f>
        <v>#REF!</v>
      </c>
      <c r="AN44" s="77"/>
      <c r="AO44" s="432"/>
      <c r="AP44" s="433"/>
      <c r="AQ44" s="433"/>
      <c r="AR44" s="433"/>
      <c r="AS44" s="433"/>
      <c r="AT44" s="434"/>
      <c r="AU44" s="77"/>
      <c r="AV44" s="77"/>
      <c r="AW44" s="77"/>
      <c r="AX44" s="77"/>
      <c r="AY44" s="77"/>
      <c r="AZ44" s="77"/>
      <c r="BA44" s="77"/>
      <c r="BB44" s="77"/>
      <c r="BC44" s="77"/>
      <c r="BD44" s="77"/>
      <c r="BE44" s="77"/>
      <c r="BF44" s="77"/>
      <c r="BG44" s="77"/>
      <c r="BH44" s="77"/>
      <c r="BI44" s="77"/>
      <c r="BJ44" s="77"/>
      <c r="BK44" s="77"/>
      <c r="BL44" s="77"/>
      <c r="BM44" s="77"/>
      <c r="BN44" s="77"/>
      <c r="BO44" s="77"/>
      <c r="BP44" s="77"/>
      <c r="BQ44" s="77"/>
      <c r="BR44" s="77"/>
      <c r="BS44" s="77"/>
      <c r="BT44" s="77"/>
      <c r="BU44" s="77"/>
      <c r="BV44" s="77"/>
      <c r="BW44" s="77"/>
      <c r="BX44" s="77"/>
    </row>
    <row r="45" spans="1:80" ht="15.75" customHeight="1" thickBot="1" x14ac:dyDescent="0.3">
      <c r="A45" s="77"/>
      <c r="B45" s="310"/>
      <c r="C45" s="310"/>
      <c r="D45" s="311"/>
      <c r="E45" s="413"/>
      <c r="F45" s="414"/>
      <c r="G45" s="414"/>
      <c r="H45" s="414"/>
      <c r="I45" s="414"/>
      <c r="J45" s="73" t="e">
        <f>IF(AND('MAPA V5 2022'!#REF!="Baja",'MAPA V5 2022'!#REF!="Leve"),CONCATENATE("R10C",'MAPA V5 2022'!#REF!),"")</f>
        <v>#REF!</v>
      </c>
      <c r="K45" s="74" t="str">
        <f>IF(AND('MAPA V5 2022'!$AA$48="Baja",'MAPA V5 2022'!$AC$48="Leve"),CONCATENATE("R10C",'MAPA V5 2022'!$Q$48),"")</f>
        <v/>
      </c>
      <c r="L45" s="74" t="str">
        <f>IF(AND('MAPA V5 2022'!$AA$51="Baja",'MAPA V5 2022'!$AC$51="Leve"),CONCATENATE("R10C",'MAPA V5 2022'!$Q$51),"")</f>
        <v/>
      </c>
      <c r="M45" s="74" t="e">
        <f>IF(AND('MAPA V5 2022'!#REF!="Baja",'MAPA V5 2022'!#REF!="Leve"),CONCATENATE("R10C",'MAPA V5 2022'!#REF!),"")</f>
        <v>#REF!</v>
      </c>
      <c r="N45" s="74" t="e">
        <f>IF(AND('MAPA V5 2022'!#REF!="Baja",'MAPA V5 2022'!#REF!="Leve"),CONCATENATE("R10C",'MAPA V5 2022'!#REF!),"")</f>
        <v>#REF!</v>
      </c>
      <c r="O45" s="75" t="e">
        <f>IF(AND('MAPA V5 2022'!#REF!="Baja",'MAPA V5 2022'!#REF!="Leve"),CONCATENATE("R10C",'MAPA V5 2022'!#REF!),"")</f>
        <v>#REF!</v>
      </c>
      <c r="P45" s="61" t="e">
        <f>IF(AND('MAPA V5 2022'!#REF!="Baja",'MAPA V5 2022'!#REF!="Menor"),CONCATENATE("R10C",'MAPA V5 2022'!#REF!),"")</f>
        <v>#REF!</v>
      </c>
      <c r="Q45" s="62" t="str">
        <f>IF(AND('MAPA V5 2022'!$AA$48="Baja",'MAPA V5 2022'!$AC$48="Menor"),CONCATENATE("R10C",'MAPA V5 2022'!$Q$48),"")</f>
        <v/>
      </c>
      <c r="R45" s="62" t="str">
        <f>IF(AND('MAPA V5 2022'!$AA$51="Baja",'MAPA V5 2022'!$AC$51="Menor"),CONCATENATE("R10C",'MAPA V5 2022'!$Q$51),"")</f>
        <v>R10C1</v>
      </c>
      <c r="S45" s="62" t="e">
        <f>IF(AND('MAPA V5 2022'!#REF!="Baja",'MAPA V5 2022'!#REF!="Menor"),CONCATENATE("R10C",'MAPA V5 2022'!#REF!),"")</f>
        <v>#REF!</v>
      </c>
      <c r="T45" s="62" t="e">
        <f>IF(AND('MAPA V5 2022'!#REF!="Baja",'MAPA V5 2022'!#REF!="Menor"),CONCATENATE("R10C",'MAPA V5 2022'!#REF!),"")</f>
        <v>#REF!</v>
      </c>
      <c r="U45" s="63" t="e">
        <f>IF(AND('MAPA V5 2022'!#REF!="Baja",'MAPA V5 2022'!#REF!="Menor"),CONCATENATE("R10C",'MAPA V5 2022'!#REF!),"")</f>
        <v>#REF!</v>
      </c>
      <c r="V45" s="64" t="e">
        <f>IF(AND('MAPA V5 2022'!#REF!="Baja",'MAPA V5 2022'!#REF!="Moderado"),CONCATENATE("R10C",'MAPA V5 2022'!#REF!),"")</f>
        <v>#REF!</v>
      </c>
      <c r="W45" s="65" t="str">
        <f>IF(AND('MAPA V5 2022'!$AA$48="Baja",'MAPA V5 2022'!$AC$48="Moderado"),CONCATENATE("R10C",'MAPA V5 2022'!$Q$48),"")</f>
        <v>R10C1</v>
      </c>
      <c r="X45" s="65" t="str">
        <f>IF(AND('MAPA V5 2022'!$AA$51="Baja",'MAPA V5 2022'!$AC$51="Moderado"),CONCATENATE("R10C",'MAPA V5 2022'!$Q$51),"")</f>
        <v/>
      </c>
      <c r="Y45" s="65" t="e">
        <f>IF(AND('MAPA V5 2022'!#REF!="Baja",'MAPA V5 2022'!#REF!="Moderado"),CONCATENATE("R10C",'MAPA V5 2022'!#REF!),"")</f>
        <v>#REF!</v>
      </c>
      <c r="Z45" s="65" t="e">
        <f>IF(AND('MAPA V5 2022'!#REF!="Baja",'MAPA V5 2022'!#REF!="Moderado"),CONCATENATE("R10C",'MAPA V5 2022'!#REF!),"")</f>
        <v>#REF!</v>
      </c>
      <c r="AA45" s="66" t="e">
        <f>IF(AND('MAPA V5 2022'!#REF!="Baja",'MAPA V5 2022'!#REF!="Moderado"),CONCATENATE("R10C",'MAPA V5 2022'!#REF!),"")</f>
        <v>#REF!</v>
      </c>
      <c r="AB45" s="52" t="e">
        <f>IF(AND('MAPA V5 2022'!#REF!="Baja",'MAPA V5 2022'!#REF!="Mayor"),CONCATENATE("R10C",'MAPA V5 2022'!#REF!),"")</f>
        <v>#REF!</v>
      </c>
      <c r="AC45" s="53" t="str">
        <f>IF(AND('MAPA V5 2022'!$AA$48="Baja",'MAPA V5 2022'!$AC$48="Mayor"),CONCATENATE("R10C",'MAPA V5 2022'!$Q$48),"")</f>
        <v/>
      </c>
      <c r="AD45" s="53" t="str">
        <f>IF(AND('MAPA V5 2022'!$AA$51="Baja",'MAPA V5 2022'!$AC$51="Mayor"),CONCATENATE("R10C",'MAPA V5 2022'!$Q$51),"")</f>
        <v/>
      </c>
      <c r="AE45" s="53" t="e">
        <f>IF(AND('MAPA V5 2022'!#REF!="Baja",'MAPA V5 2022'!#REF!="Mayor"),CONCATENATE("R10C",'MAPA V5 2022'!#REF!),"")</f>
        <v>#REF!</v>
      </c>
      <c r="AF45" s="53" t="e">
        <f>IF(AND('MAPA V5 2022'!#REF!="Baja",'MAPA V5 2022'!#REF!="Mayor"),CONCATENATE("R10C",'MAPA V5 2022'!#REF!),"")</f>
        <v>#REF!</v>
      </c>
      <c r="AG45" s="54" t="e">
        <f>IF(AND('MAPA V5 2022'!#REF!="Baja",'MAPA V5 2022'!#REF!="Mayor"),CONCATENATE("R10C",'MAPA V5 2022'!#REF!),"")</f>
        <v>#REF!</v>
      </c>
      <c r="AH45" s="55" t="e">
        <f>IF(AND('MAPA V5 2022'!#REF!="Baja",'MAPA V5 2022'!#REF!="Catastrófico"),CONCATENATE("R10C",'MAPA V5 2022'!#REF!),"")</f>
        <v>#REF!</v>
      </c>
      <c r="AI45" s="56" t="str">
        <f>IF(AND('MAPA V5 2022'!$AA$48="Baja",'MAPA V5 2022'!$AC$48="Catastrófico"),CONCATENATE("R10C",'MAPA V5 2022'!$Q$48),"")</f>
        <v/>
      </c>
      <c r="AJ45" s="56" t="str">
        <f>IF(AND('MAPA V5 2022'!$AA$51="Baja",'MAPA V5 2022'!$AC$51="Catastrófico"),CONCATENATE("R10C",'MAPA V5 2022'!$Q$51),"")</f>
        <v/>
      </c>
      <c r="AK45" s="56" t="e">
        <f>IF(AND('MAPA V5 2022'!#REF!="Baja",'MAPA V5 2022'!#REF!="Catastrófico"),CONCATENATE("R10C",'MAPA V5 2022'!#REF!),"")</f>
        <v>#REF!</v>
      </c>
      <c r="AL45" s="56" t="e">
        <f>IF(AND('MAPA V5 2022'!#REF!="Baja",'MAPA V5 2022'!#REF!="Catastrófico"),CONCATENATE("R10C",'MAPA V5 2022'!#REF!),"")</f>
        <v>#REF!</v>
      </c>
      <c r="AM45" s="57" t="e">
        <f>IF(AND('MAPA V5 2022'!#REF!="Baja",'MAPA V5 2022'!#REF!="Catastrófico"),CONCATENATE("R10C",'MAPA V5 2022'!#REF!),"")</f>
        <v>#REF!</v>
      </c>
      <c r="AN45" s="77"/>
      <c r="AO45" s="435"/>
      <c r="AP45" s="436"/>
      <c r="AQ45" s="436"/>
      <c r="AR45" s="436"/>
      <c r="AS45" s="436"/>
      <c r="AT45" s="437"/>
    </row>
    <row r="46" spans="1:80" ht="46.5" customHeight="1" x14ac:dyDescent="0.35">
      <c r="A46" s="77"/>
      <c r="B46" s="310"/>
      <c r="C46" s="310"/>
      <c r="D46" s="311"/>
      <c r="E46" s="407" t="s">
        <v>94</v>
      </c>
      <c r="F46" s="408"/>
      <c r="G46" s="408"/>
      <c r="H46" s="408"/>
      <c r="I46" s="426"/>
      <c r="J46" s="67" t="str">
        <f>IF(AND('MAPA V5 2022'!$AA$7="Muy Baja",'MAPA V5 2022'!$AC$7="Leve"),CONCATENATE("R1C",'MAPA V5 2022'!$Q$7),"")</f>
        <v/>
      </c>
      <c r="K46" s="68" t="str">
        <f>IF(AND('MAPA V5 2022'!$AA$10="Muy Baja",'MAPA V5 2022'!$AC$10="Leve"),CONCATENATE("R1C",'MAPA V5 2022'!$Q$10),"")</f>
        <v/>
      </c>
      <c r="L46" s="68" t="str">
        <f>IF(AND('MAPA V5 2022'!$AA$11="Muy Baja",'MAPA V5 2022'!$AC$11="Leve"),CONCATENATE("R1C",'MAPA V5 2022'!$Q$11),"")</f>
        <v/>
      </c>
      <c r="M46" s="68" t="e">
        <f>IF(AND('MAPA V5 2022'!#REF!="Muy Baja",'MAPA V5 2022'!#REF!="Leve"),CONCATENATE("R1C",'MAPA V5 2022'!#REF!),"")</f>
        <v>#REF!</v>
      </c>
      <c r="N46" s="68" t="e">
        <f>IF(AND('MAPA V5 2022'!#REF!="Muy Baja",'MAPA V5 2022'!#REF!="Leve"),CONCATENATE("R1C",'MAPA V5 2022'!#REF!),"")</f>
        <v>#REF!</v>
      </c>
      <c r="O46" s="69" t="e">
        <f>IF(AND('MAPA V5 2022'!#REF!="Muy Baja",'MAPA V5 2022'!#REF!="Leve"),CONCATENATE("R1C",'MAPA V5 2022'!#REF!),"")</f>
        <v>#REF!</v>
      </c>
      <c r="P46" s="67" t="str">
        <f>IF(AND('MAPA V5 2022'!$AA$7="Muy Baja",'MAPA V5 2022'!$AC$7="Menor"),CONCATENATE("R1C",'MAPA V5 2022'!$Q$7),"")</f>
        <v/>
      </c>
      <c r="Q46" s="68" t="str">
        <f>IF(AND('MAPA V5 2022'!$AA$10="Muy Baja",'MAPA V5 2022'!$AC$10="Menor"),CONCATENATE("R1C",'MAPA V5 2022'!$Q$10),"")</f>
        <v/>
      </c>
      <c r="R46" s="68" t="str">
        <f>IF(AND('MAPA V5 2022'!$AA$11="Muy Baja",'MAPA V5 2022'!$AC$11="Menor"),CONCATENATE("R1C",'MAPA V5 2022'!$Q$11),"")</f>
        <v/>
      </c>
      <c r="S46" s="68" t="e">
        <f>IF(AND('MAPA V5 2022'!#REF!="Muy Baja",'MAPA V5 2022'!#REF!="Menor"),CONCATENATE("R1C",'MAPA V5 2022'!#REF!),"")</f>
        <v>#REF!</v>
      </c>
      <c r="T46" s="68" t="e">
        <f>IF(AND('MAPA V5 2022'!#REF!="Muy Baja",'MAPA V5 2022'!#REF!="Menor"),CONCATENATE("R1C",'MAPA V5 2022'!#REF!),"")</f>
        <v>#REF!</v>
      </c>
      <c r="U46" s="69" t="e">
        <f>IF(AND('MAPA V5 2022'!#REF!="Muy Baja",'MAPA V5 2022'!#REF!="Menor"),CONCATENATE("R1C",'MAPA V5 2022'!#REF!),"")</f>
        <v>#REF!</v>
      </c>
      <c r="V46" s="58" t="str">
        <f>IF(AND('MAPA V5 2022'!$AA$7="Muy Baja",'MAPA V5 2022'!$AC$7="Moderado"),CONCATENATE("R1C",'MAPA V5 2022'!$Q$7),"")</f>
        <v/>
      </c>
      <c r="W46" s="76" t="str">
        <f>IF(AND('MAPA V5 2022'!$AA$10="Muy Baja",'MAPA V5 2022'!$AC$10="Moderado"),CONCATENATE("R1C",'MAPA V5 2022'!$Q$10),"")</f>
        <v/>
      </c>
      <c r="X46" s="59" t="str">
        <f>IF(AND('MAPA V5 2022'!$AA$11="Muy Baja",'MAPA V5 2022'!$AC$11="Moderado"),CONCATENATE("R1C",'MAPA V5 2022'!$Q$11),"")</f>
        <v/>
      </c>
      <c r="Y46" s="59" t="e">
        <f>IF(AND('MAPA V5 2022'!#REF!="Muy Baja",'MAPA V5 2022'!#REF!="Moderado"),CONCATENATE("R1C",'MAPA V5 2022'!#REF!),"")</f>
        <v>#REF!</v>
      </c>
      <c r="Z46" s="59" t="e">
        <f>IF(AND('MAPA V5 2022'!#REF!="Muy Baja",'MAPA V5 2022'!#REF!="Moderado"),CONCATENATE("R1C",'MAPA V5 2022'!#REF!),"")</f>
        <v>#REF!</v>
      </c>
      <c r="AA46" s="60" t="e">
        <f>IF(AND('MAPA V5 2022'!#REF!="Muy Baja",'MAPA V5 2022'!#REF!="Moderado"),CONCATENATE("R1C",'MAPA V5 2022'!#REF!),"")</f>
        <v>#REF!</v>
      </c>
      <c r="AB46" s="39" t="str">
        <f>IF(AND('MAPA V5 2022'!$AA$7="Muy Baja",'MAPA V5 2022'!$AC$7="Mayor"),CONCATENATE("R1C",'MAPA V5 2022'!$Q$7),"")</f>
        <v/>
      </c>
      <c r="AC46" s="40" t="str">
        <f>IF(AND('MAPA V5 2022'!$AA$10="Muy Baja",'MAPA V5 2022'!$AC$10="Mayor"),CONCATENATE("R1C",'MAPA V5 2022'!$Q$10),"")</f>
        <v/>
      </c>
      <c r="AD46" s="40" t="str">
        <f>IF(AND('MAPA V5 2022'!$AA$11="Muy Baja",'MAPA V5 2022'!$AC$11="Mayor"),CONCATENATE("R1C",'MAPA V5 2022'!$Q$11),"")</f>
        <v/>
      </c>
      <c r="AE46" s="40" t="e">
        <f>IF(AND('MAPA V5 2022'!#REF!="Muy Baja",'MAPA V5 2022'!#REF!="Mayor"),CONCATENATE("R1C",'MAPA V5 2022'!#REF!),"")</f>
        <v>#REF!</v>
      </c>
      <c r="AF46" s="40" t="e">
        <f>IF(AND('MAPA V5 2022'!#REF!="Muy Baja",'MAPA V5 2022'!#REF!="Mayor"),CONCATENATE("R1C",'MAPA V5 2022'!#REF!),"")</f>
        <v>#REF!</v>
      </c>
      <c r="AG46" s="41" t="e">
        <f>IF(AND('MAPA V5 2022'!#REF!="Muy Baja",'MAPA V5 2022'!#REF!="Mayor"),CONCATENATE("R1C",'MAPA V5 2022'!#REF!),"")</f>
        <v>#REF!</v>
      </c>
      <c r="AH46" s="42" t="str">
        <f>IF(AND('MAPA V5 2022'!$AA$7="Muy Baja",'MAPA V5 2022'!$AC$7="Catastrófico"),CONCATENATE("R1C",'MAPA V5 2022'!$Q$7),"")</f>
        <v/>
      </c>
      <c r="AI46" s="43" t="str">
        <f>IF(AND('MAPA V5 2022'!$AA$10="Muy Baja",'MAPA V5 2022'!$AC$10="Catastrófico"),CONCATENATE("R1C",'MAPA V5 2022'!$Q$10),"")</f>
        <v/>
      </c>
      <c r="AJ46" s="43" t="str">
        <f>IF(AND('MAPA V5 2022'!$AA$11="Muy Baja",'MAPA V5 2022'!$AC$11="Catastrófico"),CONCATENATE("R1C",'MAPA V5 2022'!$Q$11),"")</f>
        <v/>
      </c>
      <c r="AK46" s="43" t="e">
        <f>IF(AND('MAPA V5 2022'!#REF!="Muy Baja",'MAPA V5 2022'!#REF!="Catastrófico"),CONCATENATE("R1C",'MAPA V5 2022'!#REF!),"")</f>
        <v>#REF!</v>
      </c>
      <c r="AL46" s="43" t="e">
        <f>IF(AND('MAPA V5 2022'!#REF!="Muy Baja",'MAPA V5 2022'!#REF!="Catastrófico"),CONCATENATE("R1C",'MAPA V5 2022'!#REF!),"")</f>
        <v>#REF!</v>
      </c>
      <c r="AM46" s="44" t="e">
        <f>IF(AND('MAPA V5 2022'!#REF!="Muy Baja",'MAPA V5 2022'!#REF!="Catastrófico"),CONCATENATE("R1C",'MAPA V5 2022'!#REF!),"")</f>
        <v>#REF!</v>
      </c>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7"/>
      <c r="BR46" s="77"/>
      <c r="BS46" s="77"/>
      <c r="BT46" s="77"/>
      <c r="BU46" s="77"/>
      <c r="BV46" s="77"/>
      <c r="BW46" s="77"/>
      <c r="BX46" s="77"/>
      <c r="BY46" s="77"/>
      <c r="BZ46" s="77"/>
      <c r="CA46" s="77"/>
      <c r="CB46" s="77"/>
    </row>
    <row r="47" spans="1:80" ht="46.5" customHeight="1" x14ac:dyDescent="0.25">
      <c r="A47" s="77"/>
      <c r="B47" s="310"/>
      <c r="C47" s="310"/>
      <c r="D47" s="311"/>
      <c r="E47" s="409"/>
      <c r="F47" s="410"/>
      <c r="G47" s="410"/>
      <c r="H47" s="410"/>
      <c r="I47" s="427"/>
      <c r="J47" s="70" t="str">
        <f>IF(AND('MAPA V5 2022'!$AA$12="Muy Baja",'MAPA V5 2022'!$AC$12="Leve"),CONCATENATE("R2C",'MAPA V5 2022'!$Q$12),"")</f>
        <v/>
      </c>
      <c r="K47" s="71" t="str">
        <f>IF(AND('MAPA V5 2022'!$AA$13="Muy Baja",'MAPA V5 2022'!$AC$13="Leve"),CONCATENATE("R2C",'MAPA V5 2022'!$Q$13),"")</f>
        <v/>
      </c>
      <c r="L47" s="71" t="str">
        <f>IF(AND('MAPA V5 2022'!$AA$14="Muy Baja",'MAPA V5 2022'!$AC$14="Leve"),CONCATENATE("R2C",'MAPA V5 2022'!$Q$14),"")</f>
        <v/>
      </c>
      <c r="M47" s="71" t="str">
        <f>IF(AND('MAPA V5 2022'!$AA$15="Muy Baja",'MAPA V5 2022'!$AC$15="Leve"),CONCATENATE("R2C",'MAPA V5 2022'!$Q$15),"")</f>
        <v/>
      </c>
      <c r="N47" s="71" t="str">
        <f>IF(AND('MAPA V5 2022'!$AA$17="Muy Baja",'MAPA V5 2022'!$AC$17="Leve"),CONCATENATE("R2C",'MAPA V5 2022'!$Q$17),"")</f>
        <v/>
      </c>
      <c r="O47" s="72" t="e">
        <f>IF(AND('MAPA V5 2022'!#REF!="Muy Baja",'MAPA V5 2022'!#REF!="Leve"),CONCATENATE("R2C",'MAPA V5 2022'!#REF!),"")</f>
        <v>#REF!</v>
      </c>
      <c r="P47" s="70" t="str">
        <f>IF(AND('MAPA V5 2022'!$AA$12="Muy Baja",'MAPA V5 2022'!$AC$12="Menor"),CONCATENATE("R2C",'MAPA V5 2022'!$Q$12),"")</f>
        <v/>
      </c>
      <c r="Q47" s="71" t="str">
        <f>IF(AND('MAPA V5 2022'!$AA$13="Muy Baja",'MAPA V5 2022'!$AC$13="Menor"),CONCATENATE("R2C",'MAPA V5 2022'!$Q$13),"")</f>
        <v/>
      </c>
      <c r="R47" s="71" t="str">
        <f>IF(AND('MAPA V5 2022'!$AA$14="Muy Baja",'MAPA V5 2022'!$AC$14="Menor"),CONCATENATE("R2C",'MAPA V5 2022'!$Q$14),"")</f>
        <v/>
      </c>
      <c r="S47" s="71" t="str">
        <f>IF(AND('MAPA V5 2022'!$AA$15="Muy Baja",'MAPA V5 2022'!$AC$15="Menor"),CONCATENATE("R2C",'MAPA V5 2022'!$Q$15),"")</f>
        <v/>
      </c>
      <c r="T47" s="71" t="str">
        <f>IF(AND('MAPA V5 2022'!$AA$17="Muy Baja",'MAPA V5 2022'!$AC$17="Menor"),CONCATENATE("R2C",'MAPA V5 2022'!$Q$17),"")</f>
        <v/>
      </c>
      <c r="U47" s="72" t="e">
        <f>IF(AND('MAPA V5 2022'!#REF!="Muy Baja",'MAPA V5 2022'!#REF!="Menor"),CONCATENATE("R2C",'MAPA V5 2022'!#REF!),"")</f>
        <v>#REF!</v>
      </c>
      <c r="V47" s="61" t="str">
        <f>IF(AND('MAPA V5 2022'!$AA$12="Muy Baja",'MAPA V5 2022'!$AC$12="Moderado"),CONCATENATE("R2C",'MAPA V5 2022'!$Q$12),"")</f>
        <v/>
      </c>
      <c r="W47" s="62" t="str">
        <f>IF(AND('MAPA V5 2022'!$AA$13="Muy Baja",'MAPA V5 2022'!$AC$13="Moderado"),CONCATENATE("R2C",'MAPA V5 2022'!$Q$13),"")</f>
        <v/>
      </c>
      <c r="X47" s="62" t="str">
        <f>IF(AND('MAPA V5 2022'!$AA$14="Muy Baja",'MAPA V5 2022'!$AC$14="Moderado"),CONCATENATE("R2C",'MAPA V5 2022'!$Q$14),"")</f>
        <v/>
      </c>
      <c r="Y47" s="62" t="str">
        <f>IF(AND('MAPA V5 2022'!$AA$15="Muy Baja",'MAPA V5 2022'!$AC$15="Moderado"),CONCATENATE("R2C",'MAPA V5 2022'!$Q$15),"")</f>
        <v/>
      </c>
      <c r="Z47" s="62" t="str">
        <f>IF(AND('MAPA V5 2022'!$AA$17="Muy Baja",'MAPA V5 2022'!$AC$17="Moderado"),CONCATENATE("R2C",'MAPA V5 2022'!$Q$17),"")</f>
        <v/>
      </c>
      <c r="AA47" s="63" t="e">
        <f>IF(AND('MAPA V5 2022'!#REF!="Muy Baja",'MAPA V5 2022'!#REF!="Moderado"),CONCATENATE("R2C",'MAPA V5 2022'!#REF!),"")</f>
        <v>#REF!</v>
      </c>
      <c r="AB47" s="45" t="str">
        <f>IF(AND('MAPA V5 2022'!$AA$12="Muy Baja",'MAPA V5 2022'!$AC$12="Mayor"),CONCATENATE("R2C",'MAPA V5 2022'!$Q$12),"")</f>
        <v/>
      </c>
      <c r="AC47" s="46" t="str">
        <f>IF(AND('MAPA V5 2022'!$AA$13="Muy Baja",'MAPA V5 2022'!$AC$13="Mayor"),CONCATENATE("R2C",'MAPA V5 2022'!$Q$13),"")</f>
        <v/>
      </c>
      <c r="AD47" s="46" t="str">
        <f>IF(AND('MAPA V5 2022'!$AA$14="Muy Baja",'MAPA V5 2022'!$AC$14="Mayor"),CONCATENATE("R2C",'MAPA V5 2022'!$Q$14),"")</f>
        <v/>
      </c>
      <c r="AE47" s="46" t="str">
        <f>IF(AND('MAPA V5 2022'!$AA$15="Muy Baja",'MAPA V5 2022'!$AC$15="Mayor"),CONCATENATE("R2C",'MAPA V5 2022'!$Q$15),"")</f>
        <v/>
      </c>
      <c r="AF47" s="46" t="str">
        <f>IF(AND('MAPA V5 2022'!$AA$17="Muy Baja",'MAPA V5 2022'!$AC$17="Mayor"),CONCATENATE("R2C",'MAPA V5 2022'!$Q$17),"")</f>
        <v/>
      </c>
      <c r="AG47" s="47" t="e">
        <f>IF(AND('MAPA V5 2022'!#REF!="Muy Baja",'MAPA V5 2022'!#REF!="Mayor"),CONCATENATE("R2C",'MAPA V5 2022'!#REF!),"")</f>
        <v>#REF!</v>
      </c>
      <c r="AH47" s="48" t="str">
        <f>IF(AND('MAPA V5 2022'!$AA$12="Muy Baja",'MAPA V5 2022'!$AC$12="Catastrófico"),CONCATENATE("R2C",'MAPA V5 2022'!$Q$12),"")</f>
        <v/>
      </c>
      <c r="AI47" s="49" t="str">
        <f>IF(AND('MAPA V5 2022'!$AA$13="Muy Baja",'MAPA V5 2022'!$AC$13="Catastrófico"),CONCATENATE("R2C",'MAPA V5 2022'!$Q$13),"")</f>
        <v/>
      </c>
      <c r="AJ47" s="49" t="str">
        <f>IF(AND('MAPA V5 2022'!$AA$14="Muy Baja",'MAPA V5 2022'!$AC$14="Catastrófico"),CONCATENATE("R2C",'MAPA V5 2022'!$Q$14),"")</f>
        <v/>
      </c>
      <c r="AK47" s="49" t="str">
        <f>IF(AND('MAPA V5 2022'!$AA$15="Muy Baja",'MAPA V5 2022'!$AC$15="Catastrófico"),CONCATENATE("R2C",'MAPA V5 2022'!$Q$15),"")</f>
        <v/>
      </c>
      <c r="AL47" s="49" t="str">
        <f>IF(AND('MAPA V5 2022'!$AA$17="Muy Baja",'MAPA V5 2022'!$AC$17="Catastrófico"),CONCATENATE("R2C",'MAPA V5 2022'!$Q$17),"")</f>
        <v/>
      </c>
      <c r="AM47" s="50" t="e">
        <f>IF(AND('MAPA V5 2022'!#REF!="Muy Baja",'MAPA V5 2022'!#REF!="Catastrófico"),CONCATENATE("R2C",'MAPA V5 2022'!#REF!),"")</f>
        <v>#REF!</v>
      </c>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77"/>
      <c r="BS47" s="77"/>
      <c r="BT47" s="77"/>
      <c r="BU47" s="77"/>
      <c r="BV47" s="77"/>
      <c r="BW47" s="77"/>
      <c r="BX47" s="77"/>
      <c r="BY47" s="77"/>
      <c r="BZ47" s="77"/>
      <c r="CA47" s="77"/>
      <c r="CB47" s="77"/>
    </row>
    <row r="48" spans="1:80" ht="15" customHeight="1" x14ac:dyDescent="0.25">
      <c r="A48" s="77"/>
      <c r="B48" s="310"/>
      <c r="C48" s="310"/>
      <c r="D48" s="311"/>
      <c r="E48" s="409"/>
      <c r="F48" s="410"/>
      <c r="G48" s="410"/>
      <c r="H48" s="410"/>
      <c r="I48" s="427"/>
      <c r="J48" s="70" t="str">
        <f>IF(AND('MAPA V5 2022'!$AA$18="Muy Baja",'MAPA V5 2022'!$AC$18="Leve"),CONCATENATE("R3C",'MAPA V5 2022'!$Q$18),"")</f>
        <v/>
      </c>
      <c r="K48" s="71" t="str">
        <f>IF(AND('MAPA V5 2022'!$AA$19="Muy Baja",'MAPA V5 2022'!$AC$19="Leve"),CONCATENATE("R3C",'MAPA V5 2022'!$Q$19),"")</f>
        <v/>
      </c>
      <c r="L48" s="71" t="str">
        <f>IF(AND('MAPA V5 2022'!$AA$21="Muy Baja",'MAPA V5 2022'!$AC$21="Leve"),CONCATENATE("R3C",'MAPA V5 2022'!$Q$21),"")</f>
        <v/>
      </c>
      <c r="M48" s="71" t="e">
        <f>IF(AND('MAPA V5 2022'!#REF!="Muy Baja",'MAPA V5 2022'!#REF!="Leve"),CONCATENATE("R3C",'MAPA V5 2022'!#REF!),"")</f>
        <v>#REF!</v>
      </c>
      <c r="N48" s="71" t="str">
        <f>IF(AND('MAPA V5 2022'!$AA$23="Muy Baja",'MAPA V5 2022'!$AC$23="Leve"),CONCATENATE("R3C",'MAPA V5 2022'!$Q$23),"")</f>
        <v/>
      </c>
      <c r="O48" s="72" t="str">
        <f>IF(AND('MAPA V5 2022'!$AA$24="Muy Baja",'MAPA V5 2022'!$AC$24="Leve"),CONCATENATE("R3C",'MAPA V5 2022'!$Q$24),"")</f>
        <v/>
      </c>
      <c r="P48" s="70" t="str">
        <f>IF(AND('MAPA V5 2022'!$AA$18="Muy Baja",'MAPA V5 2022'!$AC$18="Menor"),CONCATENATE("R3C",'MAPA V5 2022'!$Q$18),"")</f>
        <v/>
      </c>
      <c r="Q48" s="71" t="str">
        <f>IF(AND('MAPA V5 2022'!$AA$19="Muy Baja",'MAPA V5 2022'!$AC$19="Menor"),CONCATENATE("R3C",'MAPA V5 2022'!$Q$19),"")</f>
        <v/>
      </c>
      <c r="R48" s="71" t="str">
        <f>IF(AND('MAPA V5 2022'!$AA$21="Muy Baja",'MAPA V5 2022'!$AC$21="Menor"),CONCATENATE("R3C",'MAPA V5 2022'!$Q$21),"")</f>
        <v/>
      </c>
      <c r="S48" s="71" t="e">
        <f>IF(AND('MAPA V5 2022'!#REF!="Muy Baja",'MAPA V5 2022'!#REF!="Menor"),CONCATENATE("R3C",'MAPA V5 2022'!#REF!),"")</f>
        <v>#REF!</v>
      </c>
      <c r="T48" s="71" t="str">
        <f>IF(AND('MAPA V5 2022'!$AA$23="Muy Baja",'MAPA V5 2022'!$AC$23="Menor"),CONCATENATE("R3C",'MAPA V5 2022'!$Q$23),"")</f>
        <v/>
      </c>
      <c r="U48" s="72" t="str">
        <f>IF(AND('MAPA V5 2022'!$AA$24="Muy Baja",'MAPA V5 2022'!$AC$24="Menor"),CONCATENATE("R3C",'MAPA V5 2022'!$Q$24),"")</f>
        <v/>
      </c>
      <c r="V48" s="61" t="str">
        <f>IF(AND('MAPA V5 2022'!$AA$18="Muy Baja",'MAPA V5 2022'!$AC$18="Moderado"),CONCATENATE("R3C",'MAPA V5 2022'!$Q$18),"")</f>
        <v/>
      </c>
      <c r="W48" s="62" t="str">
        <f>IF(AND('MAPA V5 2022'!$AA$19="Muy Baja",'MAPA V5 2022'!$AC$19="Moderado"),CONCATENATE("R3C",'MAPA V5 2022'!$Q$19),"")</f>
        <v/>
      </c>
      <c r="X48" s="62" t="str">
        <f>IF(AND('MAPA V5 2022'!$AA$21="Muy Baja",'MAPA V5 2022'!$AC$21="Moderado"),CONCATENATE("R3C",'MAPA V5 2022'!$Q$21),"")</f>
        <v/>
      </c>
      <c r="Y48" s="62" t="e">
        <f>IF(AND('MAPA V5 2022'!#REF!="Muy Baja",'MAPA V5 2022'!#REF!="Moderado"),CONCATENATE("R3C",'MAPA V5 2022'!#REF!),"")</f>
        <v>#REF!</v>
      </c>
      <c r="Z48" s="62" t="str">
        <f>IF(AND('MAPA V5 2022'!$AA$23="Muy Baja",'MAPA V5 2022'!$AC$23="Moderado"),CONCATENATE("R3C",'MAPA V5 2022'!$Q$23),"")</f>
        <v/>
      </c>
      <c r="AA48" s="63" t="str">
        <f>IF(AND('MAPA V5 2022'!$AA$24="Muy Baja",'MAPA V5 2022'!$AC$24="Moderado"),CONCATENATE("R3C",'MAPA V5 2022'!$Q$24),"")</f>
        <v/>
      </c>
      <c r="AB48" s="45" t="str">
        <f>IF(AND('MAPA V5 2022'!$AA$18="Muy Baja",'MAPA V5 2022'!$AC$18="Mayor"),CONCATENATE("R3C",'MAPA V5 2022'!$Q$18),"")</f>
        <v/>
      </c>
      <c r="AC48" s="46" t="str">
        <f>IF(AND('MAPA V5 2022'!$AA$19="Muy Baja",'MAPA V5 2022'!$AC$19="Mayor"),CONCATENATE("R3C",'MAPA V5 2022'!$Q$19),"")</f>
        <v/>
      </c>
      <c r="AD48" s="46" t="str">
        <f>IF(AND('MAPA V5 2022'!$AA$21="Muy Baja",'MAPA V5 2022'!$AC$21="Mayor"),CONCATENATE("R3C",'MAPA V5 2022'!$Q$21),"")</f>
        <v/>
      </c>
      <c r="AE48" s="46" t="e">
        <f>IF(AND('MAPA V5 2022'!#REF!="Muy Baja",'MAPA V5 2022'!#REF!="Mayor"),CONCATENATE("R3C",'MAPA V5 2022'!#REF!),"")</f>
        <v>#REF!</v>
      </c>
      <c r="AF48" s="46" t="str">
        <f>IF(AND('MAPA V5 2022'!$AA$23="Muy Baja",'MAPA V5 2022'!$AC$23="Mayor"),CONCATENATE("R3C",'MAPA V5 2022'!$Q$23),"")</f>
        <v/>
      </c>
      <c r="AG48" s="47" t="str">
        <f>IF(AND('MAPA V5 2022'!$AA$24="Muy Baja",'MAPA V5 2022'!$AC$24="Mayor"),CONCATENATE("R3C",'MAPA V5 2022'!$Q$24),"")</f>
        <v/>
      </c>
      <c r="AH48" s="48" t="str">
        <f>IF(AND('MAPA V5 2022'!$AA$18="Muy Baja",'MAPA V5 2022'!$AC$18="Catastrófico"),CONCATENATE("R3C",'MAPA V5 2022'!$Q$18),"")</f>
        <v/>
      </c>
      <c r="AI48" s="49" t="str">
        <f>IF(AND('MAPA V5 2022'!$AA$19="Muy Baja",'MAPA V5 2022'!$AC$19="Catastrófico"),CONCATENATE("R3C",'MAPA V5 2022'!$Q$19),"")</f>
        <v/>
      </c>
      <c r="AJ48" s="49" t="str">
        <f>IF(AND('MAPA V5 2022'!$AA$21="Muy Baja",'MAPA V5 2022'!$AC$21="Catastrófico"),CONCATENATE("R3C",'MAPA V5 2022'!$Q$21),"")</f>
        <v/>
      </c>
      <c r="AK48" s="49" t="e">
        <f>IF(AND('MAPA V5 2022'!#REF!="Muy Baja",'MAPA V5 2022'!#REF!="Catastrófico"),CONCATENATE("R3C",'MAPA V5 2022'!#REF!),"")</f>
        <v>#REF!</v>
      </c>
      <c r="AL48" s="49" t="str">
        <f>IF(AND('MAPA V5 2022'!$AA$23="Muy Baja",'MAPA V5 2022'!$AC$23="Catastrófico"),CONCATENATE("R3C",'MAPA V5 2022'!$Q$23),"")</f>
        <v/>
      </c>
      <c r="AM48" s="50" t="str">
        <f>IF(AND('MAPA V5 2022'!$AA$24="Muy Baja",'MAPA V5 2022'!$AC$24="Catastrófico"),CONCATENATE("R3C",'MAPA V5 2022'!$Q$24),"")</f>
        <v/>
      </c>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77"/>
      <c r="BS48" s="77"/>
      <c r="BT48" s="77"/>
      <c r="BU48" s="77"/>
      <c r="BV48" s="77"/>
      <c r="BW48" s="77"/>
      <c r="BX48" s="77"/>
      <c r="BY48" s="77"/>
      <c r="BZ48" s="77"/>
      <c r="CA48" s="77"/>
      <c r="CB48" s="77"/>
    </row>
    <row r="49" spans="1:80" ht="15" customHeight="1" x14ac:dyDescent="0.25">
      <c r="A49" s="77"/>
      <c r="B49" s="310"/>
      <c r="C49" s="310"/>
      <c r="D49" s="311"/>
      <c r="E49" s="411"/>
      <c r="F49" s="412"/>
      <c r="G49" s="412"/>
      <c r="H49" s="412"/>
      <c r="I49" s="427"/>
      <c r="J49" s="70" t="str">
        <f>IF(AND('MAPA V5 2022'!$AA$25="Muy Baja",'MAPA V5 2022'!$AC$25="Leve"),CONCATENATE("R4C",'MAPA V5 2022'!$Q$25),"")</f>
        <v/>
      </c>
      <c r="K49" s="71" t="e">
        <f>IF(AND('MAPA V5 2022'!#REF!="Muy Baja",'MAPA V5 2022'!#REF!="Leve"),CONCATENATE("R4C",'MAPA V5 2022'!#REF!),"")</f>
        <v>#REF!</v>
      </c>
      <c r="L49" s="71" t="str">
        <f>IF(AND('MAPA V5 2022'!$AA$26="Muy Baja",'MAPA V5 2022'!$AC$26="Leve"),CONCATENATE("R4C",'MAPA V5 2022'!$Q$26),"")</f>
        <v/>
      </c>
      <c r="M49" s="71" t="str">
        <f>IF(AND('MAPA V5 2022'!$AA$27="Muy Baja",'MAPA V5 2022'!$AC$27="Leve"),CONCATENATE("R4C",'MAPA V5 2022'!$Q$27),"")</f>
        <v/>
      </c>
      <c r="N49" s="71" t="e">
        <f>IF(AND('MAPA V5 2022'!#REF!="Muy Baja",'MAPA V5 2022'!#REF!="Leve"),CONCATENATE("R4C",'MAPA V5 2022'!#REF!),"")</f>
        <v>#REF!</v>
      </c>
      <c r="O49" s="72" t="str">
        <f>IF(AND('MAPA V5 2022'!$AA$28="Muy Baja",'MAPA V5 2022'!$AC$28="Leve"),CONCATENATE("R4C",'MAPA V5 2022'!$Q$28),"")</f>
        <v/>
      </c>
      <c r="P49" s="70" t="str">
        <f>IF(AND('MAPA V5 2022'!$AA$25="Muy Baja",'MAPA V5 2022'!$AC$25="Menor"),CONCATENATE("R4C",'MAPA V5 2022'!$Q$25),"")</f>
        <v/>
      </c>
      <c r="Q49" s="71" t="e">
        <f>IF(AND('MAPA V5 2022'!#REF!="Muy Baja",'MAPA V5 2022'!#REF!="Menor"),CONCATENATE("R4C",'MAPA V5 2022'!#REF!),"")</f>
        <v>#REF!</v>
      </c>
      <c r="R49" s="71" t="str">
        <f>IF(AND('MAPA V5 2022'!$AA$26="Muy Baja",'MAPA V5 2022'!$AC$26="Menor"),CONCATENATE("R4C",'MAPA V5 2022'!$Q$26),"")</f>
        <v/>
      </c>
      <c r="S49" s="71" t="str">
        <f>IF(AND('MAPA V5 2022'!$AA$27="Muy Baja",'MAPA V5 2022'!$AC$27="Menor"),CONCATENATE("R4C",'MAPA V5 2022'!$Q$27),"")</f>
        <v/>
      </c>
      <c r="T49" s="71" t="e">
        <f>IF(AND('MAPA V5 2022'!#REF!="Muy Baja",'MAPA V5 2022'!#REF!="Menor"),CONCATENATE("R4C",'MAPA V5 2022'!#REF!),"")</f>
        <v>#REF!</v>
      </c>
      <c r="U49" s="72" t="str">
        <f>IF(AND('MAPA V5 2022'!$AA$28="Muy Baja",'MAPA V5 2022'!$AC$28="Menor"),CONCATENATE("R4C",'MAPA V5 2022'!$Q$28),"")</f>
        <v/>
      </c>
      <c r="V49" s="61" t="str">
        <f>IF(AND('MAPA V5 2022'!$AA$25="Muy Baja",'MAPA V5 2022'!$AC$25="Moderado"),CONCATENATE("R4C",'MAPA V5 2022'!$Q$25),"")</f>
        <v/>
      </c>
      <c r="W49" s="62" t="e">
        <f>IF(AND('MAPA V5 2022'!#REF!="Muy Baja",'MAPA V5 2022'!#REF!="Moderado"),CONCATENATE("R4C",'MAPA V5 2022'!#REF!),"")</f>
        <v>#REF!</v>
      </c>
      <c r="X49" s="62" t="str">
        <f>IF(AND('MAPA V5 2022'!$AA$26="Muy Baja",'MAPA V5 2022'!$AC$26="Moderado"),CONCATENATE("R4C",'MAPA V5 2022'!$Q$26),"")</f>
        <v/>
      </c>
      <c r="Y49" s="62" t="str">
        <f>IF(AND('MAPA V5 2022'!$AA$27="Muy Baja",'MAPA V5 2022'!$AC$27="Moderado"),CONCATENATE("R4C",'MAPA V5 2022'!$Q$27),"")</f>
        <v/>
      </c>
      <c r="Z49" s="62" t="e">
        <f>IF(AND('MAPA V5 2022'!#REF!="Muy Baja",'MAPA V5 2022'!#REF!="Moderado"),CONCATENATE("R4C",'MAPA V5 2022'!#REF!),"")</f>
        <v>#REF!</v>
      </c>
      <c r="AA49" s="63" t="str">
        <f>IF(AND('MAPA V5 2022'!$AA$28="Muy Baja",'MAPA V5 2022'!$AC$28="Moderado"),CONCATENATE("R4C",'MAPA V5 2022'!$Q$28),"")</f>
        <v/>
      </c>
      <c r="AB49" s="45" t="str">
        <f>IF(AND('MAPA V5 2022'!$AA$25="Muy Baja",'MAPA V5 2022'!$AC$25="Mayor"),CONCATENATE("R4C",'MAPA V5 2022'!$Q$25),"")</f>
        <v/>
      </c>
      <c r="AC49" s="46" t="e">
        <f>IF(AND('MAPA V5 2022'!#REF!="Muy Baja",'MAPA V5 2022'!#REF!="Mayor"),CONCATENATE("R4C",'MAPA V5 2022'!#REF!),"")</f>
        <v>#REF!</v>
      </c>
      <c r="AD49" s="46" t="str">
        <f>IF(AND('MAPA V5 2022'!$AA$26="Muy Baja",'MAPA V5 2022'!$AC$26="Mayor"),CONCATENATE("R4C",'MAPA V5 2022'!$Q$26),"")</f>
        <v/>
      </c>
      <c r="AE49" s="46" t="str">
        <f>IF(AND('MAPA V5 2022'!$AA$27="Muy Baja",'MAPA V5 2022'!$AC$27="Mayor"),CONCATENATE("R4C",'MAPA V5 2022'!$Q$27),"")</f>
        <v/>
      </c>
      <c r="AF49" s="46" t="e">
        <f>IF(AND('MAPA V5 2022'!#REF!="Muy Baja",'MAPA V5 2022'!#REF!="Mayor"),CONCATENATE("R4C",'MAPA V5 2022'!#REF!),"")</f>
        <v>#REF!</v>
      </c>
      <c r="AG49" s="47" t="str">
        <f>IF(AND('MAPA V5 2022'!$AA$28="Muy Baja",'MAPA V5 2022'!$AC$28="Mayor"),CONCATENATE("R4C",'MAPA V5 2022'!$Q$28),"")</f>
        <v/>
      </c>
      <c r="AH49" s="48" t="str">
        <f>IF(AND('MAPA V5 2022'!$AA$25="Muy Baja",'MAPA V5 2022'!$AC$25="Catastrófico"),CONCATENATE("R4C",'MAPA V5 2022'!$Q$25),"")</f>
        <v/>
      </c>
      <c r="AI49" s="49" t="e">
        <f>IF(AND('MAPA V5 2022'!#REF!="Muy Baja",'MAPA V5 2022'!#REF!="Catastrófico"),CONCATENATE("R4C",'MAPA V5 2022'!#REF!),"")</f>
        <v>#REF!</v>
      </c>
      <c r="AJ49" s="49" t="str">
        <f>IF(AND('MAPA V5 2022'!$AA$26="Muy Baja",'MAPA V5 2022'!$AC$26="Catastrófico"),CONCATENATE("R4C",'MAPA V5 2022'!$Q$26),"")</f>
        <v/>
      </c>
      <c r="AK49" s="49" t="str">
        <f>IF(AND('MAPA V5 2022'!$AA$27="Muy Baja",'MAPA V5 2022'!$AC$27="Catastrófico"),CONCATENATE("R4C",'MAPA V5 2022'!$Q$27),"")</f>
        <v/>
      </c>
      <c r="AL49" s="49" t="e">
        <f>IF(AND('MAPA V5 2022'!#REF!="Muy Baja",'MAPA V5 2022'!#REF!="Catastrófico"),CONCATENATE("R4C",'MAPA V5 2022'!#REF!),"")</f>
        <v>#REF!</v>
      </c>
      <c r="AM49" s="50" t="str">
        <f>IF(AND('MAPA V5 2022'!$AA$28="Muy Baja",'MAPA V5 2022'!$AC$28="Catastrófico"),CONCATENATE("R4C",'MAPA V5 2022'!$Q$28),"")</f>
        <v/>
      </c>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7"/>
      <c r="BX49" s="77"/>
      <c r="BY49" s="77"/>
      <c r="BZ49" s="77"/>
      <c r="CA49" s="77"/>
      <c r="CB49" s="77"/>
    </row>
    <row r="50" spans="1:80" ht="15" customHeight="1" x14ac:dyDescent="0.25">
      <c r="A50" s="77"/>
      <c r="B50" s="310"/>
      <c r="C50" s="310"/>
      <c r="D50" s="311"/>
      <c r="E50" s="411"/>
      <c r="F50" s="412"/>
      <c r="G50" s="412"/>
      <c r="H50" s="412"/>
      <c r="I50" s="427"/>
      <c r="J50" s="70" t="str">
        <f>IF(AND('MAPA V5 2022'!$AA$29="Muy Baja",'MAPA V5 2022'!$AC$29="Leve"),CONCATENATE("R5C",'MAPA V5 2022'!$Q$29),"")</f>
        <v/>
      </c>
      <c r="K50" s="71" t="str">
        <f>IF(AND('MAPA V5 2022'!$AA$30="Muy Baja",'MAPA V5 2022'!$AC$30="Leve"),CONCATENATE("R5C",'MAPA V5 2022'!$Q$30),"")</f>
        <v/>
      </c>
      <c r="L50" s="71" t="str">
        <f>IF(AND('MAPA V5 2022'!$AA$31="Muy Baja",'MAPA V5 2022'!$AC$31="Leve"),CONCATENATE("R5C",'MAPA V5 2022'!$Q$31),"")</f>
        <v/>
      </c>
      <c r="M50" s="71" t="str">
        <f>IF(AND('MAPA V5 2022'!$AA$33="Muy Baja",'MAPA V5 2022'!$AC$33="Leve"),CONCATENATE("R5C",'MAPA V5 2022'!$Q$33),"")</f>
        <v/>
      </c>
      <c r="N50" s="71" t="str">
        <f>IF(AND('MAPA V5 2022'!$AA$34="Muy Baja",'MAPA V5 2022'!$AC$34="Leve"),CONCATENATE("R5C",'MAPA V5 2022'!$Q$34),"")</f>
        <v/>
      </c>
      <c r="O50" s="72" t="e">
        <f>IF(AND('MAPA V5 2022'!#REF!="Muy Baja",'MAPA V5 2022'!#REF!="Leve"),CONCATENATE("R5C",'MAPA V5 2022'!#REF!),"")</f>
        <v>#REF!</v>
      </c>
      <c r="P50" s="70" t="str">
        <f>IF(AND('MAPA V5 2022'!$AA$29="Muy Baja",'MAPA V5 2022'!$AC$29="Menor"),CONCATENATE("R5C",'MAPA V5 2022'!$Q$29),"")</f>
        <v/>
      </c>
      <c r="Q50" s="71" t="str">
        <f>IF(AND('MAPA V5 2022'!$AA$30="Muy Baja",'MAPA V5 2022'!$AC$30="Menor"),CONCATENATE("R5C",'MAPA V5 2022'!$Q$30),"")</f>
        <v/>
      </c>
      <c r="R50" s="71" t="str">
        <f>IF(AND('MAPA V5 2022'!$AA$31="Muy Baja",'MAPA V5 2022'!$AC$31="Menor"),CONCATENATE("R5C",'MAPA V5 2022'!$Q$31),"")</f>
        <v/>
      </c>
      <c r="S50" s="71" t="str">
        <f>IF(AND('MAPA V5 2022'!$AA$33="Muy Baja",'MAPA V5 2022'!$AC$33="Menor"),CONCATENATE("R5C",'MAPA V5 2022'!$Q$33),"")</f>
        <v/>
      </c>
      <c r="T50" s="71" t="str">
        <f>IF(AND('MAPA V5 2022'!$AA$34="Muy Baja",'MAPA V5 2022'!$AC$34="Menor"),CONCATENATE("R5C",'MAPA V5 2022'!$Q$34),"")</f>
        <v/>
      </c>
      <c r="U50" s="72" t="e">
        <f>IF(AND('MAPA V5 2022'!#REF!="Muy Baja",'MAPA V5 2022'!#REF!="Menor"),CONCATENATE("R5C",'MAPA V5 2022'!#REF!),"")</f>
        <v>#REF!</v>
      </c>
      <c r="V50" s="61" t="str">
        <f>IF(AND('MAPA V5 2022'!$AA$29="Muy Baja",'MAPA V5 2022'!$AC$29="Moderado"),CONCATENATE("R5C",'MAPA V5 2022'!$Q$29),"")</f>
        <v/>
      </c>
      <c r="W50" s="62" t="str">
        <f>IF(AND('MAPA V5 2022'!$AA$30="Muy Baja",'MAPA V5 2022'!$AC$30="Moderado"),CONCATENATE("R5C",'MAPA V5 2022'!$Q$30),"")</f>
        <v/>
      </c>
      <c r="X50" s="62" t="str">
        <f>IF(AND('MAPA V5 2022'!$AA$31="Muy Baja",'MAPA V5 2022'!$AC$31="Moderado"),CONCATENATE("R5C",'MAPA V5 2022'!$Q$31),"")</f>
        <v/>
      </c>
      <c r="Y50" s="62" t="str">
        <f>IF(AND('MAPA V5 2022'!$AA$33="Muy Baja",'MAPA V5 2022'!$AC$33="Moderado"),CONCATENATE("R5C",'MAPA V5 2022'!$Q$33),"")</f>
        <v/>
      </c>
      <c r="Z50" s="62" t="str">
        <f>IF(AND('MAPA V5 2022'!$AA$34="Muy Baja",'MAPA V5 2022'!$AC$34="Moderado"),CONCATENATE("R5C",'MAPA V5 2022'!$Q$34),"")</f>
        <v/>
      </c>
      <c r="AA50" s="63" t="e">
        <f>IF(AND('MAPA V5 2022'!#REF!="Muy Baja",'MAPA V5 2022'!#REF!="Moderado"),CONCATENATE("R5C",'MAPA V5 2022'!#REF!),"")</f>
        <v>#REF!</v>
      </c>
      <c r="AB50" s="45" t="str">
        <f>IF(AND('MAPA V5 2022'!$AA$29="Muy Baja",'MAPA V5 2022'!$AC$29="Mayor"),CONCATENATE("R5C",'MAPA V5 2022'!$Q$29),"")</f>
        <v/>
      </c>
      <c r="AC50" s="46" t="str">
        <f>IF(AND('MAPA V5 2022'!$AA$30="Muy Baja",'MAPA V5 2022'!$AC$30="Mayor"),CONCATENATE("R5C",'MAPA V5 2022'!$Q$30),"")</f>
        <v/>
      </c>
      <c r="AD50" s="51" t="str">
        <f>IF(AND('MAPA V5 2022'!$AA$31="Muy Baja",'MAPA V5 2022'!$AC$31="Mayor"),CONCATENATE("R5C",'MAPA V5 2022'!$Q$31),"")</f>
        <v/>
      </c>
      <c r="AE50" s="51" t="str">
        <f>IF(AND('MAPA V5 2022'!$AA$33="Muy Baja",'MAPA V5 2022'!$AC$33="Mayor"),CONCATENATE("R5C",'MAPA V5 2022'!$Q$33),"")</f>
        <v/>
      </c>
      <c r="AF50" s="51" t="str">
        <f>IF(AND('MAPA V5 2022'!$AA$34="Muy Baja",'MAPA V5 2022'!$AC$34="Mayor"),CONCATENATE("R5C",'MAPA V5 2022'!$Q$34),"")</f>
        <v/>
      </c>
      <c r="AG50" s="47" t="e">
        <f>IF(AND('MAPA V5 2022'!#REF!="Muy Baja",'MAPA V5 2022'!#REF!="Mayor"),CONCATENATE("R5C",'MAPA V5 2022'!#REF!),"")</f>
        <v>#REF!</v>
      </c>
      <c r="AH50" s="48" t="str">
        <f>IF(AND('MAPA V5 2022'!$AA$29="Muy Baja",'MAPA V5 2022'!$AC$29="Catastrófico"),CONCATENATE("R5C",'MAPA V5 2022'!$Q$29),"")</f>
        <v/>
      </c>
      <c r="AI50" s="49" t="str">
        <f>IF(AND('MAPA V5 2022'!$AA$30="Muy Baja",'MAPA V5 2022'!$AC$30="Catastrófico"),CONCATENATE("R5C",'MAPA V5 2022'!$Q$30),"")</f>
        <v/>
      </c>
      <c r="AJ50" s="49" t="str">
        <f>IF(AND('MAPA V5 2022'!$AA$31="Muy Baja",'MAPA V5 2022'!$AC$31="Catastrófico"),CONCATENATE("R5C",'MAPA V5 2022'!$Q$31),"")</f>
        <v/>
      </c>
      <c r="AK50" s="49" t="str">
        <f>IF(AND('MAPA V5 2022'!$AA$33="Muy Baja",'MAPA V5 2022'!$AC$33="Catastrófico"),CONCATENATE("R5C",'MAPA V5 2022'!$Q$33),"")</f>
        <v/>
      </c>
      <c r="AL50" s="49" t="str">
        <f>IF(AND('MAPA V5 2022'!$AA$34="Muy Baja",'MAPA V5 2022'!$AC$34="Catastrófico"),CONCATENATE("R5C",'MAPA V5 2022'!$Q$34),"")</f>
        <v/>
      </c>
      <c r="AM50" s="50" t="e">
        <f>IF(AND('MAPA V5 2022'!#REF!="Muy Baja",'MAPA V5 2022'!#REF!="Catastrófico"),CONCATENATE("R5C",'MAPA V5 2022'!#REF!),"")</f>
        <v>#REF!</v>
      </c>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7"/>
      <c r="BR50" s="77"/>
      <c r="BS50" s="77"/>
      <c r="BT50" s="77"/>
      <c r="BU50" s="77"/>
      <c r="BV50" s="77"/>
      <c r="BW50" s="77"/>
      <c r="BX50" s="77"/>
      <c r="BY50" s="77"/>
      <c r="BZ50" s="77"/>
      <c r="CA50" s="77"/>
      <c r="CB50" s="77"/>
    </row>
    <row r="51" spans="1:80" ht="15" customHeight="1" x14ac:dyDescent="0.25">
      <c r="A51" s="77"/>
      <c r="B51" s="310"/>
      <c r="C51" s="310"/>
      <c r="D51" s="311"/>
      <c r="E51" s="411"/>
      <c r="F51" s="412"/>
      <c r="G51" s="412"/>
      <c r="H51" s="412"/>
      <c r="I51" s="427"/>
      <c r="J51" s="70" t="e">
        <f>IF(AND('MAPA V5 2022'!#REF!="Muy Baja",'MAPA V5 2022'!#REF!="Leve"),CONCATENATE("R6C",'MAPA V5 2022'!#REF!),"")</f>
        <v>#REF!</v>
      </c>
      <c r="K51" s="71" t="str">
        <f>IF(AND('MAPA V5 2022'!$AA$35="Muy Baja",'MAPA V5 2022'!$AC$35="Leve"),CONCATENATE("R6C",'MAPA V5 2022'!$Q$35),"")</f>
        <v/>
      </c>
      <c r="L51" s="71" t="e">
        <f>IF(AND('MAPA V5 2022'!#REF!="Muy Baja",'MAPA V5 2022'!#REF!="Leve"),CONCATENATE("R6C",'MAPA V5 2022'!#REF!),"")</f>
        <v>#REF!</v>
      </c>
      <c r="M51" s="71" t="str">
        <f>IF(AND('MAPA V5 2022'!$AA$36="Muy Baja",'MAPA V5 2022'!$AC$36="Leve"),CONCATENATE("R6C",'MAPA V5 2022'!$Q$36),"")</f>
        <v/>
      </c>
      <c r="N51" s="71" t="str">
        <f>IF(AND('MAPA V5 2022'!$AA$37="Muy Baja",'MAPA V5 2022'!$AC$37="Leve"),CONCATENATE("R6C",'MAPA V5 2022'!$Q$37),"")</f>
        <v/>
      </c>
      <c r="O51" s="72" t="str">
        <f>IF(AND('MAPA V5 2022'!$AA$38="Muy Baja",'MAPA V5 2022'!$AC$38="Leve"),CONCATENATE("R6C",'MAPA V5 2022'!$Q$38),"")</f>
        <v/>
      </c>
      <c r="P51" s="70" t="e">
        <f>IF(AND('MAPA V5 2022'!#REF!="Muy Baja",'MAPA V5 2022'!#REF!="Menor"),CONCATENATE("R6C",'MAPA V5 2022'!#REF!),"")</f>
        <v>#REF!</v>
      </c>
      <c r="Q51" s="71" t="str">
        <f>IF(AND('MAPA V5 2022'!$AA$35="Muy Baja",'MAPA V5 2022'!$AC$35="Menor"),CONCATENATE("R6C",'MAPA V5 2022'!$Q$35),"")</f>
        <v/>
      </c>
      <c r="R51" s="71" t="e">
        <f>IF(AND('MAPA V5 2022'!#REF!="Muy Baja",'MAPA V5 2022'!#REF!="Menor"),CONCATENATE("R6C",'MAPA V5 2022'!#REF!),"")</f>
        <v>#REF!</v>
      </c>
      <c r="S51" s="71" t="str">
        <f>IF(AND('MAPA V5 2022'!$AA$36="Muy Baja",'MAPA V5 2022'!$AC$36="Menor"),CONCATENATE("R6C",'MAPA V5 2022'!$Q$36),"")</f>
        <v/>
      </c>
      <c r="T51" s="71" t="str">
        <f>IF(AND('MAPA V5 2022'!$AA$37="Muy Baja",'MAPA V5 2022'!$AC$37="Menor"),CONCATENATE("R6C",'MAPA V5 2022'!$Q$37),"")</f>
        <v/>
      </c>
      <c r="U51" s="72" t="str">
        <f>IF(AND('MAPA V5 2022'!$AA$38="Muy Baja",'MAPA V5 2022'!$AC$38="Menor"),CONCATENATE("R6C",'MAPA V5 2022'!$Q$38),"")</f>
        <v/>
      </c>
      <c r="V51" s="61" t="e">
        <f>IF(AND('MAPA V5 2022'!#REF!="Muy Baja",'MAPA V5 2022'!#REF!="Moderado"),CONCATENATE("R6C",'MAPA V5 2022'!#REF!),"")</f>
        <v>#REF!</v>
      </c>
      <c r="W51" s="62" t="str">
        <f>IF(AND('MAPA V5 2022'!$AA$35="Muy Baja",'MAPA V5 2022'!$AC$35="Moderado"),CONCATENATE("R6C",'MAPA V5 2022'!$Q$35),"")</f>
        <v/>
      </c>
      <c r="X51" s="62" t="e">
        <f>IF(AND('MAPA V5 2022'!#REF!="Muy Baja",'MAPA V5 2022'!#REF!="Moderado"),CONCATENATE("R6C",'MAPA V5 2022'!#REF!),"")</f>
        <v>#REF!</v>
      </c>
      <c r="Y51" s="62" t="str">
        <f>IF(AND('MAPA V5 2022'!$AA$36="Muy Baja",'MAPA V5 2022'!$AC$36="Moderado"),CONCATENATE("R6C",'MAPA V5 2022'!$Q$36),"")</f>
        <v/>
      </c>
      <c r="Z51" s="62" t="str">
        <f>IF(AND('MAPA V5 2022'!$AA$37="Muy Baja",'MAPA V5 2022'!$AC$37="Moderado"),CONCATENATE("R6C",'MAPA V5 2022'!$Q$37),"")</f>
        <v/>
      </c>
      <c r="AA51" s="63" t="str">
        <f>IF(AND('MAPA V5 2022'!$AA$38="Muy Baja",'MAPA V5 2022'!$AC$38="Moderado"),CONCATENATE("R6C",'MAPA V5 2022'!$Q$38),"")</f>
        <v/>
      </c>
      <c r="AB51" s="45" t="e">
        <f>IF(AND('MAPA V5 2022'!#REF!="Muy Baja",'MAPA V5 2022'!#REF!="Mayor"),CONCATENATE("R6C",'MAPA V5 2022'!#REF!),"")</f>
        <v>#REF!</v>
      </c>
      <c r="AC51" s="46" t="str">
        <f>IF(AND('MAPA V5 2022'!$AA$35="Muy Baja",'MAPA V5 2022'!$AC$35="Mayor"),CONCATENATE("R6C",'MAPA V5 2022'!$Q$35),"")</f>
        <v/>
      </c>
      <c r="AD51" s="51" t="e">
        <f>IF(AND('MAPA V5 2022'!#REF!="Muy Baja",'MAPA V5 2022'!#REF!="Mayor"),CONCATENATE("R6C",'MAPA V5 2022'!#REF!),"")</f>
        <v>#REF!</v>
      </c>
      <c r="AE51" s="51" t="str">
        <f>IF(AND('MAPA V5 2022'!$AA$36="Muy Baja",'MAPA V5 2022'!$AC$36="Mayor"),CONCATENATE("R6C",'MAPA V5 2022'!$Q$36),"")</f>
        <v/>
      </c>
      <c r="AF51" s="51" t="str">
        <f>IF(AND('MAPA V5 2022'!$AA$37="Muy Baja",'MAPA V5 2022'!$AC$37="Mayor"),CONCATENATE("R6C",'MAPA V5 2022'!$Q$37),"")</f>
        <v/>
      </c>
      <c r="AG51" s="47" t="str">
        <f>IF(AND('MAPA V5 2022'!$AA$38="Muy Baja",'MAPA V5 2022'!$AC$38="Mayor"),CONCATENATE("R6C",'MAPA V5 2022'!$Q$38),"")</f>
        <v/>
      </c>
      <c r="AH51" s="48" t="e">
        <f>IF(AND('MAPA V5 2022'!#REF!="Muy Baja",'MAPA V5 2022'!#REF!="Catastrófico"),CONCATENATE("R6C",'MAPA V5 2022'!#REF!),"")</f>
        <v>#REF!</v>
      </c>
      <c r="AI51" s="49" t="str">
        <f>IF(AND('MAPA V5 2022'!$AA$35="Muy Baja",'MAPA V5 2022'!$AC$35="Catastrófico"),CONCATENATE("R6C",'MAPA V5 2022'!$Q$35),"")</f>
        <v/>
      </c>
      <c r="AJ51" s="49" t="e">
        <f>IF(AND('MAPA V5 2022'!#REF!="Muy Baja",'MAPA V5 2022'!#REF!="Catastrófico"),CONCATENATE("R6C",'MAPA V5 2022'!#REF!),"")</f>
        <v>#REF!</v>
      </c>
      <c r="AK51" s="49" t="str">
        <f>IF(AND('MAPA V5 2022'!$AA$36="Muy Baja",'MAPA V5 2022'!$AC$36="Catastrófico"),CONCATENATE("R6C",'MAPA V5 2022'!$Q$36),"")</f>
        <v/>
      </c>
      <c r="AL51" s="49" t="str">
        <f>IF(AND('MAPA V5 2022'!$AA$37="Muy Baja",'MAPA V5 2022'!$AC$37="Catastrófico"),CONCATENATE("R6C",'MAPA V5 2022'!$Q$37),"")</f>
        <v/>
      </c>
      <c r="AM51" s="50" t="str">
        <f>IF(AND('MAPA V5 2022'!$AA$38="Muy Baja",'MAPA V5 2022'!$AC$38="Catastrófico"),CONCATENATE("R6C",'MAPA V5 2022'!$Q$38),"")</f>
        <v/>
      </c>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7"/>
      <c r="BR51" s="77"/>
      <c r="BS51" s="77"/>
      <c r="BT51" s="77"/>
      <c r="BU51" s="77"/>
      <c r="BV51" s="77"/>
      <c r="BW51" s="77"/>
      <c r="BX51" s="77"/>
      <c r="BY51" s="77"/>
      <c r="BZ51" s="77"/>
      <c r="CA51" s="77"/>
      <c r="CB51" s="77"/>
    </row>
    <row r="52" spans="1:80" ht="15" customHeight="1" x14ac:dyDescent="0.25">
      <c r="A52" s="77"/>
      <c r="B52" s="310"/>
      <c r="C52" s="310"/>
      <c r="D52" s="311"/>
      <c r="E52" s="411"/>
      <c r="F52" s="412"/>
      <c r="G52" s="412"/>
      <c r="H52" s="412"/>
      <c r="I52" s="427"/>
      <c r="J52" s="70" t="e">
        <f>IF(AND('MAPA V5 2022'!#REF!="Muy Baja",'MAPA V5 2022'!#REF!="Leve"),CONCATENATE("R7C",'MAPA V5 2022'!#REF!),"")</f>
        <v>#REF!</v>
      </c>
      <c r="K52" s="71" t="str">
        <f>IF(AND('MAPA V5 2022'!$AA$39="Muy Baja",'MAPA V5 2022'!$AC$39="Leve"),CONCATENATE("R7C",'MAPA V5 2022'!$Q$39),"")</f>
        <v/>
      </c>
      <c r="L52" s="71" t="str">
        <f>IF(AND('MAPA V5 2022'!$AA$40="Muy Baja",'MAPA V5 2022'!$AC$40="Leve"),CONCATENATE("R7C",'MAPA V5 2022'!$Q$40),"")</f>
        <v/>
      </c>
      <c r="M52" s="71" t="e">
        <f>IF(AND('MAPA V5 2022'!#REF!="Muy Baja",'MAPA V5 2022'!#REF!="Leve"),CONCATENATE("R7C",'MAPA V5 2022'!#REF!),"")</f>
        <v>#REF!</v>
      </c>
      <c r="N52" s="71" t="str">
        <f>IF(AND('MAPA V5 2022'!$AA$41="Muy Baja",'MAPA V5 2022'!$AC$41="Leve"),CONCATENATE("R7C",'MAPA V5 2022'!$Q$41),"")</f>
        <v/>
      </c>
      <c r="O52" s="72" t="e">
        <f>IF(AND('MAPA V5 2022'!#REF!="Muy Baja",'MAPA V5 2022'!#REF!="Leve"),CONCATENATE("R7C",'MAPA V5 2022'!#REF!),"")</f>
        <v>#REF!</v>
      </c>
      <c r="P52" s="70" t="e">
        <f>IF(AND('MAPA V5 2022'!#REF!="Muy Baja",'MAPA V5 2022'!#REF!="Menor"),CONCATENATE("R7C",'MAPA V5 2022'!#REF!),"")</f>
        <v>#REF!</v>
      </c>
      <c r="Q52" s="71" t="str">
        <f>IF(AND('MAPA V5 2022'!$AA$39="Muy Baja",'MAPA V5 2022'!$AC$39="Menor"),CONCATENATE("R7C",'MAPA V5 2022'!$Q$39),"")</f>
        <v/>
      </c>
      <c r="R52" s="71" t="str">
        <f>IF(AND('MAPA V5 2022'!$AA$40="Muy Baja",'MAPA V5 2022'!$AC$40="Menor"),CONCATENATE("R7C",'MAPA V5 2022'!$Q$40),"")</f>
        <v/>
      </c>
      <c r="S52" s="71" t="e">
        <f>IF(AND('MAPA V5 2022'!#REF!="Muy Baja",'MAPA V5 2022'!#REF!="Menor"),CONCATENATE("R7C",'MAPA V5 2022'!#REF!),"")</f>
        <v>#REF!</v>
      </c>
      <c r="T52" s="71" t="str">
        <f>IF(AND('MAPA V5 2022'!$AA$41="Muy Baja",'MAPA V5 2022'!$AC$41="Menor"),CONCATENATE("R7C",'MAPA V5 2022'!$Q$41),"")</f>
        <v/>
      </c>
      <c r="U52" s="72" t="e">
        <f>IF(AND('MAPA V5 2022'!#REF!="Muy Baja",'MAPA V5 2022'!#REF!="Menor"),CONCATENATE("R7C",'MAPA V5 2022'!#REF!),"")</f>
        <v>#REF!</v>
      </c>
      <c r="V52" s="61" t="e">
        <f>IF(AND('MAPA V5 2022'!#REF!="Muy Baja",'MAPA V5 2022'!#REF!="Moderado"),CONCATENATE("R7C",'MAPA V5 2022'!#REF!),"")</f>
        <v>#REF!</v>
      </c>
      <c r="W52" s="62" t="str">
        <f>IF(AND('MAPA V5 2022'!$AA$39="Muy Baja",'MAPA V5 2022'!$AC$39="Moderado"),CONCATENATE("R7C",'MAPA V5 2022'!$Q$39),"")</f>
        <v/>
      </c>
      <c r="X52" s="62" t="str">
        <f>IF(AND('MAPA V5 2022'!$AA$40="Muy Baja",'MAPA V5 2022'!$AC$40="Moderado"),CONCATENATE("R7C",'MAPA V5 2022'!$Q$40),"")</f>
        <v/>
      </c>
      <c r="Y52" s="62" t="e">
        <f>IF(AND('MAPA V5 2022'!#REF!="Muy Baja",'MAPA V5 2022'!#REF!="Moderado"),CONCATENATE("R7C",'MAPA V5 2022'!#REF!),"")</f>
        <v>#REF!</v>
      </c>
      <c r="Z52" s="62" t="str">
        <f>IF(AND('MAPA V5 2022'!$AA$41="Muy Baja",'MAPA V5 2022'!$AC$41="Moderado"),CONCATENATE("R7C",'MAPA V5 2022'!$Q$41),"")</f>
        <v/>
      </c>
      <c r="AA52" s="63" t="e">
        <f>IF(AND('MAPA V5 2022'!#REF!="Muy Baja",'MAPA V5 2022'!#REF!="Moderado"),CONCATENATE("R7C",'MAPA V5 2022'!#REF!),"")</f>
        <v>#REF!</v>
      </c>
      <c r="AB52" s="45" t="e">
        <f>IF(AND('MAPA V5 2022'!#REF!="Muy Baja",'MAPA V5 2022'!#REF!="Mayor"),CONCATENATE("R7C",'MAPA V5 2022'!#REF!),"")</f>
        <v>#REF!</v>
      </c>
      <c r="AC52" s="46" t="str">
        <f>IF(AND('MAPA V5 2022'!$AA$39="Muy Baja",'MAPA V5 2022'!$AC$39="Mayor"),CONCATENATE("R7C",'MAPA V5 2022'!$Q$39),"")</f>
        <v/>
      </c>
      <c r="AD52" s="51" t="str">
        <f>IF(AND('MAPA V5 2022'!$AA$40="Muy Baja",'MAPA V5 2022'!$AC$40="Mayor"),CONCATENATE("R7C",'MAPA V5 2022'!$Q$40),"")</f>
        <v/>
      </c>
      <c r="AE52" s="51" t="e">
        <f>IF(AND('MAPA V5 2022'!#REF!="Muy Baja",'MAPA V5 2022'!#REF!="Mayor"),CONCATENATE("R7C",'MAPA V5 2022'!#REF!),"")</f>
        <v>#REF!</v>
      </c>
      <c r="AF52" s="51" t="str">
        <f>IF(AND('MAPA V5 2022'!$AA$41="Muy Baja",'MAPA V5 2022'!$AC$41="Mayor"),CONCATENATE("R7C",'MAPA V5 2022'!$Q$41),"")</f>
        <v/>
      </c>
      <c r="AG52" s="47" t="e">
        <f>IF(AND('MAPA V5 2022'!#REF!="Muy Baja",'MAPA V5 2022'!#REF!="Mayor"),CONCATENATE("R7C",'MAPA V5 2022'!#REF!),"")</f>
        <v>#REF!</v>
      </c>
      <c r="AH52" s="48" t="e">
        <f>IF(AND('MAPA V5 2022'!#REF!="Muy Baja",'MAPA V5 2022'!#REF!="Catastrófico"),CONCATENATE("R7C",'MAPA V5 2022'!#REF!),"")</f>
        <v>#REF!</v>
      </c>
      <c r="AI52" s="49" t="str">
        <f>IF(AND('MAPA V5 2022'!$AA$39="Muy Baja",'MAPA V5 2022'!$AC$39="Catastrófico"),CONCATENATE("R7C",'MAPA V5 2022'!$Q$39),"")</f>
        <v/>
      </c>
      <c r="AJ52" s="49" t="str">
        <f>IF(AND('MAPA V5 2022'!$AA$40="Muy Baja",'MAPA V5 2022'!$AC$40="Catastrófico"),CONCATENATE("R7C",'MAPA V5 2022'!$Q$40),"")</f>
        <v/>
      </c>
      <c r="AK52" s="49" t="e">
        <f>IF(AND('MAPA V5 2022'!#REF!="Muy Baja",'MAPA V5 2022'!#REF!="Catastrófico"),CONCATENATE("R7C",'MAPA V5 2022'!#REF!),"")</f>
        <v>#REF!</v>
      </c>
      <c r="AL52" s="49" t="str">
        <f>IF(AND('MAPA V5 2022'!$AA$41="Muy Baja",'MAPA V5 2022'!$AC$41="Catastrófico"),CONCATENATE("R7C",'MAPA V5 2022'!$Q$41),"")</f>
        <v/>
      </c>
      <c r="AM52" s="50" t="e">
        <f>IF(AND('MAPA V5 2022'!#REF!="Muy Baja",'MAPA V5 2022'!#REF!="Catastrófico"),CONCATENATE("R7C",'MAPA V5 2022'!#REF!),"")</f>
        <v>#REF!</v>
      </c>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7"/>
      <c r="BR52" s="77"/>
      <c r="BS52" s="77"/>
      <c r="BT52" s="77"/>
      <c r="BU52" s="77"/>
      <c r="BV52" s="77"/>
      <c r="BW52" s="77"/>
      <c r="BX52" s="77"/>
      <c r="BY52" s="77"/>
      <c r="BZ52" s="77"/>
      <c r="CA52" s="77"/>
      <c r="CB52" s="77"/>
    </row>
    <row r="53" spans="1:80" ht="15" customHeight="1" x14ac:dyDescent="0.25">
      <c r="A53" s="77"/>
      <c r="B53" s="310"/>
      <c r="C53" s="310"/>
      <c r="D53" s="311"/>
      <c r="E53" s="411"/>
      <c r="F53" s="412"/>
      <c r="G53" s="412"/>
      <c r="H53" s="412"/>
      <c r="I53" s="427"/>
      <c r="J53" s="70" t="e">
        <f>IF(AND('MAPA V5 2022'!#REF!="Muy Baja",'MAPA V5 2022'!#REF!="Leve"),CONCATENATE("R8C",'MAPA V5 2022'!#REF!),"")</f>
        <v>#REF!</v>
      </c>
      <c r="K53" s="71" t="e">
        <f>IF(AND('MAPA V5 2022'!#REF!="Muy Baja",'MAPA V5 2022'!#REF!="Leve"),CONCATENATE("R8C",'MAPA V5 2022'!#REF!),"")</f>
        <v>#REF!</v>
      </c>
      <c r="L53" s="71" t="str">
        <f>IF(AND('MAPA V5 2022'!$AA$42="Muy Baja",'MAPA V5 2022'!$AC$42="Leve"),CONCATENATE("R8C",'MAPA V5 2022'!$Q$42),"")</f>
        <v/>
      </c>
      <c r="M53" s="71" t="str">
        <f>IF(AND('MAPA V5 2022'!$AA$43="Muy Baja",'MAPA V5 2022'!$AC$43="Leve"),CONCATENATE("R8C",'MAPA V5 2022'!$Q$43),"")</f>
        <v/>
      </c>
      <c r="N53" s="71" t="e">
        <f>IF(AND('MAPA V5 2022'!#REF!="Muy Baja",'MAPA V5 2022'!#REF!="Leve"),CONCATENATE("R8C",'MAPA V5 2022'!#REF!),"")</f>
        <v>#REF!</v>
      </c>
      <c r="O53" s="72" t="e">
        <f>IF(AND('MAPA V5 2022'!#REF!="Muy Baja",'MAPA V5 2022'!#REF!="Leve"),CONCATENATE("R8C",'MAPA V5 2022'!#REF!),"")</f>
        <v>#REF!</v>
      </c>
      <c r="P53" s="70" t="e">
        <f>IF(AND('MAPA V5 2022'!#REF!="Muy Baja",'MAPA V5 2022'!#REF!="Menor"),CONCATENATE("R8C",'MAPA V5 2022'!#REF!),"")</f>
        <v>#REF!</v>
      </c>
      <c r="Q53" s="71" t="e">
        <f>IF(AND('MAPA V5 2022'!#REF!="Muy Baja",'MAPA V5 2022'!#REF!="Menor"),CONCATENATE("R8C",'MAPA V5 2022'!#REF!),"")</f>
        <v>#REF!</v>
      </c>
      <c r="R53" s="71" t="str">
        <f>IF(AND('MAPA V5 2022'!$AA$42="Muy Baja",'MAPA V5 2022'!$AC$42="Menor"),CONCATENATE("R8C",'MAPA V5 2022'!$Q$42),"")</f>
        <v/>
      </c>
      <c r="S53" s="71" t="str">
        <f>IF(AND('MAPA V5 2022'!$AA$43="Muy Baja",'MAPA V5 2022'!$AC$43="Menor"),CONCATENATE("R8C",'MAPA V5 2022'!$Q$43),"")</f>
        <v/>
      </c>
      <c r="T53" s="71" t="e">
        <f>IF(AND('MAPA V5 2022'!#REF!="Muy Baja",'MAPA V5 2022'!#REF!="Menor"),CONCATENATE("R8C",'MAPA V5 2022'!#REF!),"")</f>
        <v>#REF!</v>
      </c>
      <c r="U53" s="72" t="e">
        <f>IF(AND('MAPA V5 2022'!#REF!="Muy Baja",'MAPA V5 2022'!#REF!="Menor"),CONCATENATE("R8C",'MAPA V5 2022'!#REF!),"")</f>
        <v>#REF!</v>
      </c>
      <c r="V53" s="61" t="e">
        <f>IF(AND('MAPA V5 2022'!#REF!="Muy Baja",'MAPA V5 2022'!#REF!="Moderado"),CONCATENATE("R8C",'MAPA V5 2022'!#REF!),"")</f>
        <v>#REF!</v>
      </c>
      <c r="W53" s="62" t="e">
        <f>IF(AND('MAPA V5 2022'!#REF!="Muy Baja",'MAPA V5 2022'!#REF!="Moderado"),CONCATENATE("R8C",'MAPA V5 2022'!#REF!),"")</f>
        <v>#REF!</v>
      </c>
      <c r="X53" s="62" t="str">
        <f>IF(AND('MAPA V5 2022'!$AA$42="Muy Baja",'MAPA V5 2022'!$AC$42="Moderado"),CONCATENATE("R8C",'MAPA V5 2022'!$Q$42),"")</f>
        <v/>
      </c>
      <c r="Y53" s="62" t="str">
        <f>IF(AND('MAPA V5 2022'!$AA$43="Muy Baja",'MAPA V5 2022'!$AC$43="Moderado"),CONCATENATE("R8C",'MAPA V5 2022'!$Q$43),"")</f>
        <v/>
      </c>
      <c r="Z53" s="62" t="e">
        <f>IF(AND('MAPA V5 2022'!#REF!="Muy Baja",'MAPA V5 2022'!#REF!="Moderado"),CONCATENATE("R8C",'MAPA V5 2022'!#REF!),"")</f>
        <v>#REF!</v>
      </c>
      <c r="AA53" s="63" t="e">
        <f>IF(AND('MAPA V5 2022'!#REF!="Muy Baja",'MAPA V5 2022'!#REF!="Moderado"),CONCATENATE("R8C",'MAPA V5 2022'!#REF!),"")</f>
        <v>#REF!</v>
      </c>
      <c r="AB53" s="45" t="e">
        <f>IF(AND('MAPA V5 2022'!#REF!="Muy Baja",'MAPA V5 2022'!#REF!="Mayor"),CONCATENATE("R8C",'MAPA V5 2022'!#REF!),"")</f>
        <v>#REF!</v>
      </c>
      <c r="AC53" s="46" t="e">
        <f>IF(AND('MAPA V5 2022'!#REF!="Muy Baja",'MAPA V5 2022'!#REF!="Mayor"),CONCATENATE("R8C",'MAPA V5 2022'!#REF!),"")</f>
        <v>#REF!</v>
      </c>
      <c r="AD53" s="51" t="str">
        <f>IF(AND('MAPA V5 2022'!$AA$42="Muy Baja",'MAPA V5 2022'!$AC$42="Mayor"),CONCATENATE("R8C",'MAPA V5 2022'!$Q$42),"")</f>
        <v/>
      </c>
      <c r="AE53" s="51" t="str">
        <f>IF(AND('MAPA V5 2022'!$AA$43="Muy Baja",'MAPA V5 2022'!$AC$43="Mayor"),CONCATENATE("R8C",'MAPA V5 2022'!$Q$43),"")</f>
        <v/>
      </c>
      <c r="AF53" s="51" t="e">
        <f>IF(AND('MAPA V5 2022'!#REF!="Muy Baja",'MAPA V5 2022'!#REF!="Mayor"),CONCATENATE("R8C",'MAPA V5 2022'!#REF!),"")</f>
        <v>#REF!</v>
      </c>
      <c r="AG53" s="47" t="e">
        <f>IF(AND('MAPA V5 2022'!#REF!="Muy Baja",'MAPA V5 2022'!#REF!="Mayor"),CONCATENATE("R8C",'MAPA V5 2022'!#REF!),"")</f>
        <v>#REF!</v>
      </c>
      <c r="AH53" s="48" t="e">
        <f>IF(AND('MAPA V5 2022'!#REF!="Muy Baja",'MAPA V5 2022'!#REF!="Catastrófico"),CONCATENATE("R8C",'MAPA V5 2022'!#REF!),"")</f>
        <v>#REF!</v>
      </c>
      <c r="AI53" s="49" t="e">
        <f>IF(AND('MAPA V5 2022'!#REF!="Muy Baja",'MAPA V5 2022'!#REF!="Catastrófico"),CONCATENATE("R8C",'MAPA V5 2022'!#REF!),"")</f>
        <v>#REF!</v>
      </c>
      <c r="AJ53" s="49" t="str">
        <f>IF(AND('MAPA V5 2022'!$AA$42="Muy Baja",'MAPA V5 2022'!$AC$42="Catastrófico"),CONCATENATE("R8C",'MAPA V5 2022'!$Q$42),"")</f>
        <v/>
      </c>
      <c r="AK53" s="49" t="str">
        <f>IF(AND('MAPA V5 2022'!$AA$43="Muy Baja",'MAPA V5 2022'!$AC$43="Catastrófico"),CONCATENATE("R8C",'MAPA V5 2022'!$Q$43),"")</f>
        <v/>
      </c>
      <c r="AL53" s="49" t="e">
        <f>IF(AND('MAPA V5 2022'!#REF!="Muy Baja",'MAPA V5 2022'!#REF!="Catastrófico"),CONCATENATE("R8C",'MAPA V5 2022'!#REF!),"")</f>
        <v>#REF!</v>
      </c>
      <c r="AM53" s="50" t="e">
        <f>IF(AND('MAPA V5 2022'!#REF!="Muy Baja",'MAPA V5 2022'!#REF!="Catastrófico"),CONCATENATE("R8C",'MAPA V5 2022'!#REF!),"")</f>
        <v>#REF!</v>
      </c>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7"/>
      <c r="BR53" s="77"/>
      <c r="BS53" s="77"/>
      <c r="BT53" s="77"/>
      <c r="BU53" s="77"/>
      <c r="BV53" s="77"/>
      <c r="BW53" s="77"/>
      <c r="BX53" s="77"/>
      <c r="BY53" s="77"/>
      <c r="BZ53" s="77"/>
      <c r="CA53" s="77"/>
      <c r="CB53" s="77"/>
    </row>
    <row r="54" spans="1:80" ht="15" customHeight="1" x14ac:dyDescent="0.25">
      <c r="A54" s="77"/>
      <c r="B54" s="310"/>
      <c r="C54" s="310"/>
      <c r="D54" s="311"/>
      <c r="E54" s="411"/>
      <c r="F54" s="412"/>
      <c r="G54" s="412"/>
      <c r="H54" s="412"/>
      <c r="I54" s="427"/>
      <c r="J54" s="70" t="str">
        <f>IF(AND('MAPA V5 2022'!$AA$44="Muy Baja",'MAPA V5 2022'!$AC$44="Leve"),CONCATENATE("R9C",'MAPA V5 2022'!$Q$44),"")</f>
        <v/>
      </c>
      <c r="K54" s="71" t="str">
        <f>IF(AND('MAPA V5 2022'!$AA$45="Muy Baja",'MAPA V5 2022'!$AC$45="Leve"),CONCATENATE("R9C",'MAPA V5 2022'!$Q$45),"")</f>
        <v/>
      </c>
      <c r="L54" s="71" t="e">
        <f>IF(AND('MAPA V5 2022'!#REF!="Muy Baja",'MAPA V5 2022'!#REF!="Leve"),CONCATENATE("R9C",'MAPA V5 2022'!#REF!),"")</f>
        <v>#REF!</v>
      </c>
      <c r="M54" s="71" t="e">
        <f>IF(AND('MAPA V5 2022'!#REF!="Muy Baja",'MAPA V5 2022'!#REF!="Leve"),CONCATENATE("R9C",'MAPA V5 2022'!#REF!),"")</f>
        <v>#REF!</v>
      </c>
      <c r="N54" s="71" t="str">
        <f>IF(AND('MAPA V5 2022'!$AA$46="Muy Baja",'MAPA V5 2022'!$AC$46="Leve"),CONCATENATE("R9C",'MAPA V5 2022'!$Q$46),"")</f>
        <v/>
      </c>
      <c r="O54" s="72" t="e">
        <f>IF(AND('MAPA V5 2022'!#REF!="Muy Baja",'MAPA V5 2022'!#REF!="Leve"),CONCATENATE("R9C",'MAPA V5 2022'!#REF!),"")</f>
        <v>#REF!</v>
      </c>
      <c r="P54" s="70" t="str">
        <f>IF(AND('MAPA V5 2022'!$AA$44="Muy Baja",'MAPA V5 2022'!$AC$44="Menor"),CONCATENATE("R9C",'MAPA V5 2022'!$Q$44),"")</f>
        <v/>
      </c>
      <c r="Q54" s="71" t="str">
        <f>IF(AND('MAPA V5 2022'!$AA$45="Muy Baja",'MAPA V5 2022'!$AC$45="Menor"),CONCATENATE("R9C",'MAPA V5 2022'!$Q$45),"")</f>
        <v/>
      </c>
      <c r="R54" s="71" t="e">
        <f>IF(AND('MAPA V5 2022'!#REF!="Muy Baja",'MAPA V5 2022'!#REF!="Menor"),CONCATENATE("R9C",'MAPA V5 2022'!#REF!),"")</f>
        <v>#REF!</v>
      </c>
      <c r="S54" s="71" t="e">
        <f>IF(AND('MAPA V5 2022'!#REF!="Muy Baja",'MAPA V5 2022'!#REF!="Menor"),CONCATENATE("R9C",'MAPA V5 2022'!#REF!),"")</f>
        <v>#REF!</v>
      </c>
      <c r="T54" s="71" t="str">
        <f>IF(AND('MAPA V5 2022'!$AA$46="Muy Baja",'MAPA V5 2022'!$AC$46="Menor"),CONCATENATE("R9C",'MAPA V5 2022'!$Q$46),"")</f>
        <v/>
      </c>
      <c r="U54" s="72" t="e">
        <f>IF(AND('MAPA V5 2022'!#REF!="Muy Baja",'MAPA V5 2022'!#REF!="Menor"),CONCATENATE("R9C",'MAPA V5 2022'!#REF!),"")</f>
        <v>#REF!</v>
      </c>
      <c r="V54" s="61" t="str">
        <f>IF(AND('MAPA V5 2022'!$AA$44="Muy Baja",'MAPA V5 2022'!$AC$44="Moderado"),CONCATENATE("R9C",'MAPA V5 2022'!$Q$44),"")</f>
        <v/>
      </c>
      <c r="W54" s="62" t="str">
        <f>IF(AND('MAPA V5 2022'!$AA$45="Muy Baja",'MAPA V5 2022'!$AC$45="Moderado"),CONCATENATE("R9C",'MAPA V5 2022'!$Q$45),"")</f>
        <v/>
      </c>
      <c r="X54" s="62" t="e">
        <f>IF(AND('MAPA V5 2022'!#REF!="Muy Baja",'MAPA V5 2022'!#REF!="Moderado"),CONCATENATE("R9C",'MAPA V5 2022'!#REF!),"")</f>
        <v>#REF!</v>
      </c>
      <c r="Y54" s="62" t="e">
        <f>IF(AND('MAPA V5 2022'!#REF!="Muy Baja",'MAPA V5 2022'!#REF!="Moderado"),CONCATENATE("R9C",'MAPA V5 2022'!#REF!),"")</f>
        <v>#REF!</v>
      </c>
      <c r="Z54" s="62" t="str">
        <f>IF(AND('MAPA V5 2022'!$AA$46="Muy Baja",'MAPA V5 2022'!$AC$46="Moderado"),CONCATENATE("R9C",'MAPA V5 2022'!$Q$46),"")</f>
        <v/>
      </c>
      <c r="AA54" s="63" t="e">
        <f>IF(AND('MAPA V5 2022'!#REF!="Muy Baja",'MAPA V5 2022'!#REF!="Moderado"),CONCATENATE("R9C",'MAPA V5 2022'!#REF!),"")</f>
        <v>#REF!</v>
      </c>
      <c r="AB54" s="45" t="str">
        <f>IF(AND('MAPA V5 2022'!$AA$44="Muy Baja",'MAPA V5 2022'!$AC$44="Mayor"),CONCATENATE("R9C",'MAPA V5 2022'!$Q$44),"")</f>
        <v/>
      </c>
      <c r="AC54" s="46" t="str">
        <f>IF(AND('MAPA V5 2022'!$AA$45="Muy Baja",'MAPA V5 2022'!$AC$45="Mayor"),CONCATENATE("R9C",'MAPA V5 2022'!$Q$45),"")</f>
        <v/>
      </c>
      <c r="AD54" s="51" t="e">
        <f>IF(AND('MAPA V5 2022'!#REF!="Muy Baja",'MAPA V5 2022'!#REF!="Mayor"),CONCATENATE("R9C",'MAPA V5 2022'!#REF!),"")</f>
        <v>#REF!</v>
      </c>
      <c r="AE54" s="51" t="e">
        <f>IF(AND('MAPA V5 2022'!#REF!="Muy Baja",'MAPA V5 2022'!#REF!="Mayor"),CONCATENATE("R9C",'MAPA V5 2022'!#REF!),"")</f>
        <v>#REF!</v>
      </c>
      <c r="AF54" s="51" t="str">
        <f>IF(AND('MAPA V5 2022'!$AA$46="Muy Baja",'MAPA V5 2022'!$AC$46="Mayor"),CONCATENATE("R9C",'MAPA V5 2022'!$Q$46),"")</f>
        <v/>
      </c>
      <c r="AG54" s="47" t="e">
        <f>IF(AND('MAPA V5 2022'!#REF!="Muy Baja",'MAPA V5 2022'!#REF!="Mayor"),CONCATENATE("R9C",'MAPA V5 2022'!#REF!),"")</f>
        <v>#REF!</v>
      </c>
      <c r="AH54" s="48" t="str">
        <f>IF(AND('MAPA V5 2022'!$AA$44="Muy Baja",'MAPA V5 2022'!$AC$44="Catastrófico"),CONCATENATE("R9C",'MAPA V5 2022'!$Q$44),"")</f>
        <v/>
      </c>
      <c r="AI54" s="49" t="str">
        <f>IF(AND('MAPA V5 2022'!$AA$45="Muy Baja",'MAPA V5 2022'!$AC$45="Catastrófico"),CONCATENATE("R9C",'MAPA V5 2022'!$Q$45),"")</f>
        <v/>
      </c>
      <c r="AJ54" s="49" t="e">
        <f>IF(AND('MAPA V5 2022'!#REF!="Muy Baja",'MAPA V5 2022'!#REF!="Catastrófico"),CONCATENATE("R9C",'MAPA V5 2022'!#REF!),"")</f>
        <v>#REF!</v>
      </c>
      <c r="AK54" s="49" t="e">
        <f>IF(AND('MAPA V5 2022'!#REF!="Muy Baja",'MAPA V5 2022'!#REF!="Catastrófico"),CONCATENATE("R9C",'MAPA V5 2022'!#REF!),"")</f>
        <v>#REF!</v>
      </c>
      <c r="AL54" s="49" t="str">
        <f>IF(AND('MAPA V5 2022'!$AA$46="Muy Baja",'MAPA V5 2022'!$AC$46="Catastrófico"),CONCATENATE("R9C",'MAPA V5 2022'!$Q$46),"")</f>
        <v/>
      </c>
      <c r="AM54" s="50" t="e">
        <f>IF(AND('MAPA V5 2022'!#REF!="Muy Baja",'MAPA V5 2022'!#REF!="Catastrófico"),CONCATENATE("R9C",'MAPA V5 2022'!#REF!),"")</f>
        <v>#REF!</v>
      </c>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7"/>
      <c r="BS54" s="77"/>
      <c r="BT54" s="77"/>
      <c r="BU54" s="77"/>
      <c r="BV54" s="77"/>
      <c r="BW54" s="77"/>
      <c r="BX54" s="77"/>
      <c r="BY54" s="77"/>
      <c r="BZ54" s="77"/>
      <c r="CA54" s="77"/>
      <c r="CB54" s="77"/>
    </row>
    <row r="55" spans="1:80" ht="15.75" customHeight="1" thickBot="1" x14ac:dyDescent="0.3">
      <c r="A55" s="77"/>
      <c r="B55" s="310"/>
      <c r="C55" s="310"/>
      <c r="D55" s="311"/>
      <c r="E55" s="413"/>
      <c r="F55" s="414"/>
      <c r="G55" s="414"/>
      <c r="H55" s="414"/>
      <c r="I55" s="428"/>
      <c r="J55" s="73" t="e">
        <f>IF(AND('MAPA V5 2022'!#REF!="Muy Baja",'MAPA V5 2022'!#REF!="Leve"),CONCATENATE("R10C",'MAPA V5 2022'!#REF!),"")</f>
        <v>#REF!</v>
      </c>
      <c r="K55" s="74" t="str">
        <f>IF(AND('MAPA V5 2022'!$AA$48="Muy Baja",'MAPA V5 2022'!$AC$48="Leve"),CONCATENATE("R10C",'MAPA V5 2022'!$Q$48),"")</f>
        <v/>
      </c>
      <c r="L55" s="74" t="str">
        <f>IF(AND('MAPA V5 2022'!$AA$51="Muy Baja",'MAPA V5 2022'!$AC$51="Leve"),CONCATENATE("R10C",'MAPA V5 2022'!$Q$51),"")</f>
        <v/>
      </c>
      <c r="M55" s="74" t="e">
        <f>IF(AND('MAPA V5 2022'!#REF!="Muy Baja",'MAPA V5 2022'!#REF!="Leve"),CONCATENATE("R10C",'MAPA V5 2022'!#REF!),"")</f>
        <v>#REF!</v>
      </c>
      <c r="N55" s="74" t="e">
        <f>IF(AND('MAPA V5 2022'!#REF!="Muy Baja",'MAPA V5 2022'!#REF!="Leve"),CONCATENATE("R10C",'MAPA V5 2022'!#REF!),"")</f>
        <v>#REF!</v>
      </c>
      <c r="O55" s="75" t="e">
        <f>IF(AND('MAPA V5 2022'!#REF!="Muy Baja",'MAPA V5 2022'!#REF!="Leve"),CONCATENATE("R10C",'MAPA V5 2022'!#REF!),"")</f>
        <v>#REF!</v>
      </c>
      <c r="P55" s="73" t="e">
        <f>IF(AND('MAPA V5 2022'!#REF!="Muy Baja",'MAPA V5 2022'!#REF!="Menor"),CONCATENATE("R10C",'MAPA V5 2022'!#REF!),"")</f>
        <v>#REF!</v>
      </c>
      <c r="Q55" s="74" t="str">
        <f>IF(AND('MAPA V5 2022'!$AA$48="Muy Baja",'MAPA V5 2022'!$AC$48="Menor"),CONCATENATE("R10C",'MAPA V5 2022'!$Q$48),"")</f>
        <v/>
      </c>
      <c r="R55" s="74" t="str">
        <f>IF(AND('MAPA V5 2022'!$AA$51="Muy Baja",'MAPA V5 2022'!$AC$51="Menor"),CONCATENATE("R10C",'MAPA V5 2022'!$Q$51),"")</f>
        <v/>
      </c>
      <c r="S55" s="74" t="e">
        <f>IF(AND('MAPA V5 2022'!#REF!="Muy Baja",'MAPA V5 2022'!#REF!="Menor"),CONCATENATE("R10C",'MAPA V5 2022'!#REF!),"")</f>
        <v>#REF!</v>
      </c>
      <c r="T55" s="74" t="e">
        <f>IF(AND('MAPA V5 2022'!#REF!="Muy Baja",'MAPA V5 2022'!#REF!="Menor"),CONCATENATE("R10C",'MAPA V5 2022'!#REF!),"")</f>
        <v>#REF!</v>
      </c>
      <c r="U55" s="75" t="e">
        <f>IF(AND('MAPA V5 2022'!#REF!="Muy Baja",'MAPA V5 2022'!#REF!="Menor"),CONCATENATE("R10C",'MAPA V5 2022'!#REF!),"")</f>
        <v>#REF!</v>
      </c>
      <c r="V55" s="64" t="e">
        <f>IF(AND('MAPA V5 2022'!#REF!="Muy Baja",'MAPA V5 2022'!#REF!="Moderado"),CONCATENATE("R10C",'MAPA V5 2022'!#REF!),"")</f>
        <v>#REF!</v>
      </c>
      <c r="W55" s="65" t="str">
        <f>IF(AND('MAPA V5 2022'!$AA$48="Muy Baja",'MAPA V5 2022'!$AC$48="Moderado"),CONCATENATE("R10C",'MAPA V5 2022'!$Q$48),"")</f>
        <v/>
      </c>
      <c r="X55" s="65" t="str">
        <f>IF(AND('MAPA V5 2022'!$AA$51="Muy Baja",'MAPA V5 2022'!$AC$51="Moderado"),CONCATENATE("R10C",'MAPA V5 2022'!$Q$51),"")</f>
        <v/>
      </c>
      <c r="Y55" s="65" t="e">
        <f>IF(AND('MAPA V5 2022'!#REF!="Muy Baja",'MAPA V5 2022'!#REF!="Moderado"),CONCATENATE("R10C",'MAPA V5 2022'!#REF!),"")</f>
        <v>#REF!</v>
      </c>
      <c r="Z55" s="65" t="e">
        <f>IF(AND('MAPA V5 2022'!#REF!="Muy Baja",'MAPA V5 2022'!#REF!="Moderado"),CONCATENATE("R10C",'MAPA V5 2022'!#REF!),"")</f>
        <v>#REF!</v>
      </c>
      <c r="AA55" s="66" t="e">
        <f>IF(AND('MAPA V5 2022'!#REF!="Muy Baja",'MAPA V5 2022'!#REF!="Moderado"),CONCATENATE("R10C",'MAPA V5 2022'!#REF!),"")</f>
        <v>#REF!</v>
      </c>
      <c r="AB55" s="52" t="e">
        <f>IF(AND('MAPA V5 2022'!#REF!="Muy Baja",'MAPA V5 2022'!#REF!="Mayor"),CONCATENATE("R10C",'MAPA V5 2022'!#REF!),"")</f>
        <v>#REF!</v>
      </c>
      <c r="AC55" s="53" t="str">
        <f>IF(AND('MAPA V5 2022'!$AA$48="Muy Baja",'MAPA V5 2022'!$AC$48="Mayor"),CONCATENATE("R10C",'MAPA V5 2022'!$Q$48),"")</f>
        <v/>
      </c>
      <c r="AD55" s="53" t="str">
        <f>IF(AND('MAPA V5 2022'!$AA$51="Muy Baja",'MAPA V5 2022'!$AC$51="Mayor"),CONCATENATE("R10C",'MAPA V5 2022'!$Q$51),"")</f>
        <v/>
      </c>
      <c r="AE55" s="53" t="e">
        <f>IF(AND('MAPA V5 2022'!#REF!="Muy Baja",'MAPA V5 2022'!#REF!="Mayor"),CONCATENATE("R10C",'MAPA V5 2022'!#REF!),"")</f>
        <v>#REF!</v>
      </c>
      <c r="AF55" s="53" t="e">
        <f>IF(AND('MAPA V5 2022'!#REF!="Muy Baja",'MAPA V5 2022'!#REF!="Mayor"),CONCATENATE("R10C",'MAPA V5 2022'!#REF!),"")</f>
        <v>#REF!</v>
      </c>
      <c r="AG55" s="54" t="e">
        <f>IF(AND('MAPA V5 2022'!#REF!="Muy Baja",'MAPA V5 2022'!#REF!="Mayor"),CONCATENATE("R10C",'MAPA V5 2022'!#REF!),"")</f>
        <v>#REF!</v>
      </c>
      <c r="AH55" s="55" t="e">
        <f>IF(AND('MAPA V5 2022'!#REF!="Muy Baja",'MAPA V5 2022'!#REF!="Catastrófico"),CONCATENATE("R10C",'MAPA V5 2022'!#REF!),"")</f>
        <v>#REF!</v>
      </c>
      <c r="AI55" s="56" t="str">
        <f>IF(AND('MAPA V5 2022'!$AA$48="Muy Baja",'MAPA V5 2022'!$AC$48="Catastrófico"),CONCATENATE("R10C",'MAPA V5 2022'!$Q$48),"")</f>
        <v/>
      </c>
      <c r="AJ55" s="56" t="str">
        <f>IF(AND('MAPA V5 2022'!$AA$51="Muy Baja",'MAPA V5 2022'!$AC$51="Catastrófico"),CONCATENATE("R10C",'MAPA V5 2022'!$Q$51),"")</f>
        <v/>
      </c>
      <c r="AK55" s="56" t="e">
        <f>IF(AND('MAPA V5 2022'!#REF!="Muy Baja",'MAPA V5 2022'!#REF!="Catastrófico"),CONCATENATE("R10C",'MAPA V5 2022'!#REF!),"")</f>
        <v>#REF!</v>
      </c>
      <c r="AL55" s="56" t="e">
        <f>IF(AND('MAPA V5 2022'!#REF!="Muy Baja",'MAPA V5 2022'!#REF!="Catastrófico"),CONCATENATE("R10C",'MAPA V5 2022'!#REF!),"")</f>
        <v>#REF!</v>
      </c>
      <c r="AM55" s="57" t="e">
        <f>IF(AND('MAPA V5 2022'!#REF!="Muy Baja",'MAPA V5 2022'!#REF!="Catastrófico"),CONCATENATE("R10C",'MAPA V5 2022'!#REF!),"")</f>
        <v>#REF!</v>
      </c>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7"/>
      <c r="BS55" s="77"/>
      <c r="BT55" s="77"/>
      <c r="BU55" s="77"/>
      <c r="BV55" s="77"/>
      <c r="BW55" s="77"/>
      <c r="BX55" s="77"/>
      <c r="BY55" s="77"/>
      <c r="BZ55" s="77"/>
      <c r="CA55" s="77"/>
      <c r="CB55" s="77"/>
    </row>
    <row r="56" spans="1:80" x14ac:dyDescent="0.25">
      <c r="A56" s="77"/>
      <c r="B56" s="77"/>
      <c r="C56" s="77"/>
      <c r="D56" s="77"/>
      <c r="E56" s="77"/>
      <c r="F56" s="77"/>
      <c r="G56" s="77"/>
      <c r="H56" s="77"/>
      <c r="I56" s="77"/>
      <c r="J56" s="407" t="s">
        <v>93</v>
      </c>
      <c r="K56" s="408"/>
      <c r="L56" s="408"/>
      <c r="M56" s="408"/>
      <c r="N56" s="408"/>
      <c r="O56" s="426"/>
      <c r="P56" s="407" t="s">
        <v>92</v>
      </c>
      <c r="Q56" s="408"/>
      <c r="R56" s="408"/>
      <c r="S56" s="408"/>
      <c r="T56" s="408"/>
      <c r="U56" s="426"/>
      <c r="V56" s="407" t="s">
        <v>91</v>
      </c>
      <c r="W56" s="408"/>
      <c r="X56" s="408"/>
      <c r="Y56" s="408"/>
      <c r="Z56" s="408"/>
      <c r="AA56" s="426"/>
      <c r="AB56" s="407" t="s">
        <v>90</v>
      </c>
      <c r="AC56" s="447"/>
      <c r="AD56" s="408"/>
      <c r="AE56" s="408"/>
      <c r="AF56" s="408"/>
      <c r="AG56" s="426"/>
      <c r="AH56" s="407" t="s">
        <v>89</v>
      </c>
      <c r="AI56" s="408"/>
      <c r="AJ56" s="408"/>
      <c r="AK56" s="408"/>
      <c r="AL56" s="408"/>
      <c r="AM56" s="426"/>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7"/>
      <c r="BS56" s="77"/>
      <c r="BT56" s="77"/>
      <c r="BU56" s="77"/>
      <c r="BV56" s="77"/>
      <c r="BW56" s="77"/>
      <c r="BX56" s="77"/>
      <c r="BY56" s="77"/>
      <c r="BZ56" s="77"/>
      <c r="CA56" s="77"/>
      <c r="CB56" s="77"/>
    </row>
    <row r="57" spans="1:80" x14ac:dyDescent="0.25">
      <c r="A57" s="77"/>
      <c r="B57" s="77"/>
      <c r="C57" s="77"/>
      <c r="D57" s="77"/>
      <c r="E57" s="77"/>
      <c r="F57" s="77"/>
      <c r="G57" s="77"/>
      <c r="H57" s="77"/>
      <c r="I57" s="77"/>
      <c r="J57" s="411"/>
      <c r="K57" s="412"/>
      <c r="L57" s="412"/>
      <c r="M57" s="412"/>
      <c r="N57" s="412"/>
      <c r="O57" s="427"/>
      <c r="P57" s="411"/>
      <c r="Q57" s="412"/>
      <c r="R57" s="412"/>
      <c r="S57" s="412"/>
      <c r="T57" s="412"/>
      <c r="U57" s="427"/>
      <c r="V57" s="411"/>
      <c r="W57" s="412"/>
      <c r="X57" s="412"/>
      <c r="Y57" s="412"/>
      <c r="Z57" s="412"/>
      <c r="AA57" s="427"/>
      <c r="AB57" s="411"/>
      <c r="AC57" s="412"/>
      <c r="AD57" s="412"/>
      <c r="AE57" s="412"/>
      <c r="AF57" s="412"/>
      <c r="AG57" s="427"/>
      <c r="AH57" s="411"/>
      <c r="AI57" s="412"/>
      <c r="AJ57" s="412"/>
      <c r="AK57" s="412"/>
      <c r="AL57" s="412"/>
      <c r="AM57" s="427"/>
      <c r="AN57" s="77"/>
      <c r="AO57" s="77"/>
      <c r="AP57" s="77"/>
      <c r="AQ57" s="77"/>
      <c r="AR57" s="77"/>
      <c r="AS57" s="77"/>
      <c r="AT57" s="77"/>
      <c r="AU57" s="77"/>
      <c r="AV57" s="77"/>
      <c r="AW57" s="77"/>
      <c r="AX57" s="77"/>
      <c r="AY57" s="77"/>
      <c r="AZ57" s="77"/>
      <c r="BA57" s="77"/>
      <c r="BB57" s="77"/>
      <c r="BC57" s="77"/>
      <c r="BD57" s="77"/>
      <c r="BE57" s="77"/>
      <c r="BF57" s="77"/>
      <c r="BG57" s="77"/>
      <c r="BH57" s="77"/>
      <c r="BI57" s="77"/>
      <c r="BJ57" s="77"/>
      <c r="BK57" s="77"/>
      <c r="BL57" s="77"/>
      <c r="BM57" s="77"/>
      <c r="BN57" s="77"/>
      <c r="BO57" s="77"/>
      <c r="BP57" s="77"/>
      <c r="BQ57" s="77"/>
      <c r="BR57" s="77"/>
      <c r="BS57" s="77"/>
      <c r="BT57" s="77"/>
      <c r="BU57" s="77"/>
      <c r="BV57" s="77"/>
      <c r="BW57" s="77"/>
      <c r="BX57" s="77"/>
      <c r="BY57" s="77"/>
      <c r="BZ57" s="77"/>
      <c r="CA57" s="77"/>
      <c r="CB57" s="77"/>
    </row>
    <row r="58" spans="1:80" x14ac:dyDescent="0.25">
      <c r="A58" s="77"/>
      <c r="B58" s="77"/>
      <c r="C58" s="77"/>
      <c r="D58" s="77"/>
      <c r="E58" s="77"/>
      <c r="F58" s="77"/>
      <c r="G58" s="77"/>
      <c r="H58" s="77"/>
      <c r="I58" s="77"/>
      <c r="J58" s="411"/>
      <c r="K58" s="412"/>
      <c r="L58" s="412"/>
      <c r="M58" s="412"/>
      <c r="N58" s="412"/>
      <c r="O58" s="427"/>
      <c r="P58" s="411"/>
      <c r="Q58" s="412"/>
      <c r="R58" s="412"/>
      <c r="S58" s="412"/>
      <c r="T58" s="412"/>
      <c r="U58" s="427"/>
      <c r="V58" s="411"/>
      <c r="W58" s="412"/>
      <c r="X58" s="412"/>
      <c r="Y58" s="412"/>
      <c r="Z58" s="412"/>
      <c r="AA58" s="427"/>
      <c r="AB58" s="411"/>
      <c r="AC58" s="412"/>
      <c r="AD58" s="412"/>
      <c r="AE58" s="412"/>
      <c r="AF58" s="412"/>
      <c r="AG58" s="427"/>
      <c r="AH58" s="411"/>
      <c r="AI58" s="412"/>
      <c r="AJ58" s="412"/>
      <c r="AK58" s="412"/>
      <c r="AL58" s="412"/>
      <c r="AM58" s="427"/>
      <c r="AN58" s="77"/>
      <c r="AO58" s="77"/>
      <c r="AP58" s="77"/>
      <c r="AQ58" s="77"/>
      <c r="AR58" s="77"/>
      <c r="AS58" s="77"/>
      <c r="AT58" s="77"/>
      <c r="AU58" s="77"/>
      <c r="AV58" s="77"/>
      <c r="AW58" s="77"/>
      <c r="AX58" s="77"/>
      <c r="AY58" s="77"/>
      <c r="AZ58" s="77"/>
      <c r="BA58" s="77"/>
      <c r="BB58" s="77"/>
      <c r="BC58" s="77"/>
      <c r="BD58" s="77"/>
      <c r="BE58" s="77"/>
      <c r="BF58" s="77"/>
      <c r="BG58" s="77"/>
      <c r="BH58" s="77"/>
      <c r="BI58" s="77"/>
      <c r="BJ58" s="77"/>
      <c r="BK58" s="77"/>
      <c r="BL58" s="77"/>
      <c r="BM58" s="77"/>
      <c r="BN58" s="77"/>
      <c r="BO58" s="77"/>
      <c r="BP58" s="77"/>
      <c r="BQ58" s="77"/>
      <c r="BR58" s="77"/>
      <c r="BS58" s="77"/>
      <c r="BT58" s="77"/>
      <c r="BU58" s="77"/>
      <c r="BV58" s="77"/>
      <c r="BW58" s="77"/>
      <c r="BX58" s="77"/>
      <c r="BY58" s="77"/>
      <c r="BZ58" s="77"/>
      <c r="CA58" s="77"/>
      <c r="CB58" s="77"/>
    </row>
    <row r="59" spans="1:80" x14ac:dyDescent="0.25">
      <c r="A59" s="77"/>
      <c r="B59" s="77"/>
      <c r="C59" s="77"/>
      <c r="D59" s="77"/>
      <c r="E59" s="77"/>
      <c r="F59" s="77"/>
      <c r="G59" s="77"/>
      <c r="H59" s="77"/>
      <c r="I59" s="77"/>
      <c r="J59" s="411"/>
      <c r="K59" s="412"/>
      <c r="L59" s="412"/>
      <c r="M59" s="412"/>
      <c r="N59" s="412"/>
      <c r="O59" s="427"/>
      <c r="P59" s="411"/>
      <c r="Q59" s="412"/>
      <c r="R59" s="412"/>
      <c r="S59" s="412"/>
      <c r="T59" s="412"/>
      <c r="U59" s="427"/>
      <c r="V59" s="411"/>
      <c r="W59" s="412"/>
      <c r="X59" s="412"/>
      <c r="Y59" s="412"/>
      <c r="Z59" s="412"/>
      <c r="AA59" s="427"/>
      <c r="AB59" s="411"/>
      <c r="AC59" s="412"/>
      <c r="AD59" s="412"/>
      <c r="AE59" s="412"/>
      <c r="AF59" s="412"/>
      <c r="AG59" s="427"/>
      <c r="AH59" s="411"/>
      <c r="AI59" s="412"/>
      <c r="AJ59" s="412"/>
      <c r="AK59" s="412"/>
      <c r="AL59" s="412"/>
      <c r="AM59" s="427"/>
      <c r="AN59" s="77"/>
      <c r="AO59" s="77"/>
      <c r="AP59" s="77"/>
      <c r="AQ59" s="77"/>
      <c r="AR59" s="77"/>
      <c r="AS59" s="77"/>
      <c r="AT59" s="77"/>
      <c r="AU59" s="77"/>
      <c r="AV59" s="77"/>
      <c r="AW59" s="77"/>
      <c r="AX59" s="77"/>
      <c r="AY59" s="77"/>
      <c r="AZ59" s="77"/>
      <c r="BA59" s="77"/>
      <c r="BB59" s="77"/>
      <c r="BC59" s="77"/>
      <c r="BD59" s="77"/>
      <c r="BE59" s="77"/>
      <c r="BF59" s="77"/>
      <c r="BG59" s="77"/>
      <c r="BH59" s="77"/>
      <c r="BI59" s="77"/>
      <c r="BJ59" s="77"/>
      <c r="BK59" s="77"/>
      <c r="BL59" s="77"/>
      <c r="BM59" s="77"/>
      <c r="BN59" s="77"/>
      <c r="BO59" s="77"/>
      <c r="BP59" s="77"/>
      <c r="BQ59" s="77"/>
      <c r="BR59" s="77"/>
      <c r="BS59" s="77"/>
      <c r="BT59" s="77"/>
      <c r="BU59" s="77"/>
      <c r="BV59" s="77"/>
      <c r="BW59" s="77"/>
      <c r="BX59" s="77"/>
      <c r="BY59" s="77"/>
      <c r="BZ59" s="77"/>
      <c r="CA59" s="77"/>
      <c r="CB59" s="77"/>
    </row>
    <row r="60" spans="1:80" x14ac:dyDescent="0.25">
      <c r="A60" s="77"/>
      <c r="B60" s="77"/>
      <c r="C60" s="77"/>
      <c r="D60" s="77"/>
      <c r="E60" s="77"/>
      <c r="F60" s="77"/>
      <c r="G60" s="77"/>
      <c r="H60" s="77"/>
      <c r="I60" s="77"/>
      <c r="J60" s="411"/>
      <c r="K60" s="412"/>
      <c r="L60" s="412"/>
      <c r="M60" s="412"/>
      <c r="N60" s="412"/>
      <c r="O60" s="427"/>
      <c r="P60" s="411"/>
      <c r="Q60" s="412"/>
      <c r="R60" s="412"/>
      <c r="S60" s="412"/>
      <c r="T60" s="412"/>
      <c r="U60" s="427"/>
      <c r="V60" s="411"/>
      <c r="W60" s="412"/>
      <c r="X60" s="412"/>
      <c r="Y60" s="412"/>
      <c r="Z60" s="412"/>
      <c r="AA60" s="427"/>
      <c r="AB60" s="411"/>
      <c r="AC60" s="412"/>
      <c r="AD60" s="412"/>
      <c r="AE60" s="412"/>
      <c r="AF60" s="412"/>
      <c r="AG60" s="427"/>
      <c r="AH60" s="411"/>
      <c r="AI60" s="412"/>
      <c r="AJ60" s="412"/>
      <c r="AK60" s="412"/>
      <c r="AL60" s="412"/>
      <c r="AM60" s="427"/>
      <c r="AN60" s="77"/>
      <c r="AO60" s="77"/>
      <c r="AP60" s="77"/>
      <c r="AQ60" s="77"/>
      <c r="AR60" s="77"/>
      <c r="AS60" s="77"/>
      <c r="AT60" s="77"/>
      <c r="AU60" s="77"/>
      <c r="AV60" s="77"/>
      <c r="AW60" s="77"/>
      <c r="AX60" s="77"/>
      <c r="AY60" s="77"/>
      <c r="AZ60" s="77"/>
      <c r="BA60" s="77"/>
      <c r="BB60" s="77"/>
      <c r="BC60" s="77"/>
      <c r="BD60" s="77"/>
      <c r="BE60" s="77"/>
      <c r="BF60" s="77"/>
      <c r="BG60" s="77"/>
      <c r="BH60" s="77"/>
      <c r="BI60" s="77"/>
      <c r="BJ60" s="77"/>
      <c r="BK60" s="77"/>
      <c r="BL60" s="77"/>
      <c r="BM60" s="77"/>
      <c r="BN60" s="77"/>
      <c r="BO60" s="77"/>
      <c r="BP60" s="77"/>
      <c r="BQ60" s="77"/>
      <c r="BR60" s="77"/>
      <c r="BS60" s="77"/>
      <c r="BT60" s="77"/>
      <c r="BU60" s="77"/>
      <c r="BV60" s="77"/>
      <c r="BW60" s="77"/>
      <c r="BX60" s="77"/>
      <c r="BY60" s="77"/>
      <c r="BZ60" s="77"/>
      <c r="CA60" s="77"/>
      <c r="CB60" s="77"/>
    </row>
    <row r="61" spans="1:80" ht="15.75" thickBot="1" x14ac:dyDescent="0.3">
      <c r="A61" s="77"/>
      <c r="B61" s="77"/>
      <c r="C61" s="77"/>
      <c r="D61" s="77"/>
      <c r="E61" s="77"/>
      <c r="F61" s="77"/>
      <c r="G61" s="77"/>
      <c r="H61" s="77"/>
      <c r="I61" s="77"/>
      <c r="J61" s="413"/>
      <c r="K61" s="414"/>
      <c r="L61" s="414"/>
      <c r="M61" s="414"/>
      <c r="N61" s="414"/>
      <c r="O61" s="428"/>
      <c r="P61" s="413"/>
      <c r="Q61" s="414"/>
      <c r="R61" s="414"/>
      <c r="S61" s="414"/>
      <c r="T61" s="414"/>
      <c r="U61" s="428"/>
      <c r="V61" s="413"/>
      <c r="W61" s="414"/>
      <c r="X61" s="414"/>
      <c r="Y61" s="414"/>
      <c r="Z61" s="414"/>
      <c r="AA61" s="428"/>
      <c r="AB61" s="413"/>
      <c r="AC61" s="414"/>
      <c r="AD61" s="414"/>
      <c r="AE61" s="414"/>
      <c r="AF61" s="414"/>
      <c r="AG61" s="428"/>
      <c r="AH61" s="413"/>
      <c r="AI61" s="414"/>
      <c r="AJ61" s="414"/>
      <c r="AK61" s="414"/>
      <c r="AL61" s="414"/>
      <c r="AM61" s="428"/>
      <c r="AN61" s="77"/>
      <c r="AO61" s="77"/>
      <c r="AP61" s="77"/>
      <c r="AQ61" s="77"/>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c r="BQ61" s="77"/>
      <c r="BR61" s="77"/>
      <c r="BS61" s="77"/>
      <c r="BT61" s="77"/>
      <c r="BU61" s="77"/>
      <c r="BV61" s="77"/>
      <c r="BW61" s="77"/>
      <c r="BX61" s="77"/>
      <c r="BY61" s="77"/>
      <c r="BZ61" s="77"/>
      <c r="CA61" s="77"/>
      <c r="CB61" s="77"/>
    </row>
    <row r="62" spans="1:80" x14ac:dyDescent="0.25">
      <c r="A62" s="77"/>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c r="BD62" s="77"/>
      <c r="BE62" s="77"/>
      <c r="BF62" s="77"/>
      <c r="BG62" s="77"/>
      <c r="BH62" s="77"/>
    </row>
    <row r="63" spans="1:80" ht="15" customHeight="1" x14ac:dyDescent="0.25">
      <c r="A63" s="77"/>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77"/>
      <c r="AV63" s="77"/>
      <c r="AW63" s="77"/>
      <c r="AX63" s="77"/>
      <c r="AY63" s="77"/>
      <c r="AZ63" s="77"/>
      <c r="BA63" s="77"/>
      <c r="BB63" s="77"/>
      <c r="BC63" s="77"/>
      <c r="BD63" s="77"/>
      <c r="BE63" s="77"/>
      <c r="BF63" s="77"/>
      <c r="BG63" s="77"/>
      <c r="BH63" s="77"/>
    </row>
    <row r="64" spans="1:80" ht="15" customHeight="1" x14ac:dyDescent="0.25">
      <c r="A64" s="77"/>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77"/>
      <c r="AV64" s="77"/>
      <c r="AW64" s="77"/>
      <c r="AX64" s="77"/>
      <c r="AY64" s="77"/>
      <c r="AZ64" s="77"/>
      <c r="BA64" s="77"/>
      <c r="BB64" s="77"/>
      <c r="BC64" s="77"/>
      <c r="BD64" s="77"/>
      <c r="BE64" s="77"/>
      <c r="BF64" s="77"/>
      <c r="BG64" s="77"/>
      <c r="BH64" s="77"/>
    </row>
    <row r="65" spans="1:60" x14ac:dyDescent="0.25">
      <c r="A65" s="77"/>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7"/>
      <c r="BD65" s="77"/>
      <c r="BE65" s="77"/>
      <c r="BF65" s="77"/>
      <c r="BG65" s="77"/>
      <c r="BH65" s="77"/>
    </row>
    <row r="66" spans="1:60" x14ac:dyDescent="0.25">
      <c r="A66" s="77"/>
      <c r="B66" s="77"/>
      <c r="C66" s="77"/>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7"/>
      <c r="AY66" s="77"/>
      <c r="AZ66" s="77"/>
      <c r="BA66" s="77"/>
      <c r="BB66" s="77"/>
      <c r="BC66" s="77"/>
      <c r="BD66" s="77"/>
      <c r="BE66" s="77"/>
      <c r="BF66" s="77"/>
      <c r="BG66" s="77"/>
      <c r="BH66" s="77"/>
    </row>
    <row r="67" spans="1:60" x14ac:dyDescent="0.25">
      <c r="A67" s="77"/>
      <c r="B67" s="77"/>
      <c r="C67" s="77"/>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7"/>
      <c r="AZ67" s="77"/>
      <c r="BA67" s="77"/>
      <c r="BB67" s="77"/>
      <c r="BC67" s="77"/>
      <c r="BD67" s="77"/>
      <c r="BE67" s="77"/>
      <c r="BF67" s="77"/>
      <c r="BG67" s="77"/>
      <c r="BH67" s="77"/>
    </row>
    <row r="68" spans="1:60" x14ac:dyDescent="0.25">
      <c r="A68" s="77"/>
      <c r="B68" s="77"/>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7"/>
      <c r="AX68" s="77"/>
      <c r="AY68" s="77"/>
      <c r="AZ68" s="77"/>
      <c r="BA68" s="77"/>
      <c r="BB68" s="77"/>
      <c r="BC68" s="77"/>
      <c r="BD68" s="77"/>
      <c r="BE68" s="77"/>
      <c r="BF68" s="77"/>
      <c r="BG68" s="77"/>
      <c r="BH68" s="77"/>
    </row>
    <row r="69" spans="1:60" x14ac:dyDescent="0.25">
      <c r="A69" s="77"/>
      <c r="B69" s="77"/>
      <c r="C69" s="77"/>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c r="AS69" s="77"/>
      <c r="AT69" s="77"/>
      <c r="AU69" s="77"/>
      <c r="AV69" s="77"/>
      <c r="AW69" s="77"/>
      <c r="AX69" s="77"/>
      <c r="AY69" s="77"/>
      <c r="AZ69" s="77"/>
      <c r="BA69" s="77"/>
      <c r="BB69" s="77"/>
      <c r="BC69" s="77"/>
      <c r="BD69" s="77"/>
      <c r="BE69" s="77"/>
      <c r="BF69" s="77"/>
      <c r="BG69" s="77"/>
      <c r="BH69" s="77"/>
    </row>
    <row r="70" spans="1:60" x14ac:dyDescent="0.25">
      <c r="A70" s="77"/>
      <c r="B70" s="77"/>
      <c r="C70" s="77"/>
      <c r="D70" s="77"/>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77"/>
      <c r="AQ70" s="77"/>
      <c r="AR70" s="77"/>
      <c r="AS70" s="77"/>
      <c r="AT70" s="77"/>
      <c r="AU70" s="77"/>
      <c r="AV70" s="77"/>
      <c r="AW70" s="77"/>
      <c r="AX70" s="77"/>
      <c r="AY70" s="77"/>
      <c r="AZ70" s="77"/>
      <c r="BA70" s="77"/>
      <c r="BB70" s="77"/>
      <c r="BC70" s="77"/>
      <c r="BD70" s="77"/>
      <c r="BE70" s="77"/>
      <c r="BF70" s="77"/>
      <c r="BG70" s="77"/>
      <c r="BH70" s="77"/>
    </row>
    <row r="71" spans="1:60" x14ac:dyDescent="0.25">
      <c r="A71" s="77"/>
      <c r="B71" s="77"/>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c r="AS71" s="77"/>
      <c r="AT71" s="77"/>
      <c r="AU71" s="77"/>
      <c r="AV71" s="77"/>
      <c r="AW71" s="77"/>
      <c r="AX71" s="77"/>
      <c r="AY71" s="77"/>
      <c r="AZ71" s="77"/>
      <c r="BA71" s="77"/>
      <c r="BB71" s="77"/>
      <c r="BC71" s="77"/>
      <c r="BD71" s="77"/>
      <c r="BE71" s="77"/>
      <c r="BF71" s="77"/>
      <c r="BG71" s="77"/>
      <c r="BH71" s="77"/>
    </row>
    <row r="72" spans="1:60" x14ac:dyDescent="0.25">
      <c r="A72" s="77"/>
      <c r="B72" s="77"/>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c r="AS72" s="77"/>
      <c r="AT72" s="77"/>
      <c r="AU72" s="77"/>
      <c r="AV72" s="77"/>
      <c r="AW72" s="77"/>
      <c r="AX72" s="77"/>
      <c r="AY72" s="77"/>
      <c r="AZ72" s="77"/>
      <c r="BA72" s="77"/>
      <c r="BB72" s="77"/>
      <c r="BC72" s="77"/>
      <c r="BD72" s="77"/>
      <c r="BE72" s="77"/>
      <c r="BF72" s="77"/>
      <c r="BG72" s="77"/>
      <c r="BH72" s="77"/>
    </row>
    <row r="73" spans="1:60" x14ac:dyDescent="0.25">
      <c r="A73" s="77"/>
      <c r="B73" s="77"/>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c r="AV73" s="77"/>
      <c r="AW73" s="77"/>
      <c r="AX73" s="77"/>
      <c r="AY73" s="77"/>
      <c r="AZ73" s="77"/>
      <c r="BA73" s="77"/>
      <c r="BB73" s="77"/>
      <c r="BC73" s="77"/>
      <c r="BD73" s="77"/>
      <c r="BE73" s="77"/>
      <c r="BF73" s="77"/>
      <c r="BG73" s="77"/>
      <c r="BH73" s="77"/>
    </row>
    <row r="74" spans="1:60" x14ac:dyDescent="0.25">
      <c r="A74" s="77"/>
      <c r="B74" s="77"/>
      <c r="C74" s="77"/>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7"/>
      <c r="AV74" s="77"/>
      <c r="AW74" s="77"/>
      <c r="AX74" s="77"/>
      <c r="AY74" s="77"/>
      <c r="AZ74" s="77"/>
      <c r="BA74" s="77"/>
      <c r="BB74" s="77"/>
      <c r="BC74" s="77"/>
      <c r="BD74" s="77"/>
      <c r="BE74" s="77"/>
      <c r="BF74" s="77"/>
      <c r="BG74" s="77"/>
      <c r="BH74" s="77"/>
    </row>
    <row r="75" spans="1:60" x14ac:dyDescent="0.25">
      <c r="A75" s="77"/>
      <c r="B75" s="77"/>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c r="AV75" s="77"/>
      <c r="AW75" s="77"/>
      <c r="AX75" s="77"/>
      <c r="AY75" s="77"/>
      <c r="AZ75" s="77"/>
      <c r="BA75" s="77"/>
      <c r="BB75" s="77"/>
      <c r="BC75" s="77"/>
      <c r="BD75" s="77"/>
      <c r="BE75" s="77"/>
      <c r="BF75" s="77"/>
      <c r="BG75" s="77"/>
      <c r="BH75" s="77"/>
    </row>
    <row r="76" spans="1:60" x14ac:dyDescent="0.25">
      <c r="A76" s="77"/>
      <c r="B76" s="77"/>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77"/>
      <c r="AV76" s="77"/>
      <c r="AW76" s="77"/>
      <c r="AX76" s="77"/>
      <c r="AY76" s="77"/>
      <c r="AZ76" s="77"/>
      <c r="BA76" s="77"/>
      <c r="BB76" s="77"/>
      <c r="BC76" s="77"/>
      <c r="BD76" s="77"/>
      <c r="BE76" s="77"/>
      <c r="BF76" s="77"/>
      <c r="BG76" s="77"/>
      <c r="BH76" s="77"/>
    </row>
    <row r="77" spans="1:60" x14ac:dyDescent="0.25">
      <c r="A77" s="77"/>
      <c r="B77" s="77"/>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c r="AS77" s="77"/>
      <c r="AT77" s="77"/>
      <c r="AU77" s="77"/>
      <c r="AV77" s="77"/>
      <c r="AW77" s="77"/>
      <c r="AX77" s="77"/>
      <c r="AY77" s="77"/>
      <c r="AZ77" s="77"/>
      <c r="BA77" s="77"/>
      <c r="BB77" s="77"/>
      <c r="BC77" s="77"/>
      <c r="BD77" s="77"/>
      <c r="BE77" s="77"/>
      <c r="BF77" s="77"/>
      <c r="BG77" s="77"/>
      <c r="BH77" s="77"/>
    </row>
    <row r="78" spans="1:60" x14ac:dyDescent="0.25">
      <c r="A78" s="77"/>
      <c r="B78" s="77"/>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c r="AS78" s="77"/>
      <c r="AT78" s="77"/>
      <c r="AU78" s="77"/>
      <c r="AV78" s="77"/>
      <c r="AW78" s="77"/>
      <c r="AX78" s="77"/>
      <c r="AY78" s="77"/>
      <c r="AZ78" s="77"/>
      <c r="BA78" s="77"/>
      <c r="BB78" s="77"/>
      <c r="BC78" s="77"/>
      <c r="BD78" s="77"/>
      <c r="BE78" s="77"/>
      <c r="BF78" s="77"/>
      <c r="BG78" s="77"/>
      <c r="BH78" s="77"/>
    </row>
    <row r="79" spans="1:60" x14ac:dyDescent="0.25">
      <c r="A79" s="77"/>
      <c r="B79" s="77"/>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7"/>
      <c r="AZ79" s="77"/>
      <c r="BA79" s="77"/>
      <c r="BB79" s="77"/>
      <c r="BC79" s="77"/>
      <c r="BD79" s="77"/>
      <c r="BE79" s="77"/>
      <c r="BF79" s="77"/>
      <c r="BG79" s="77"/>
      <c r="BH79" s="77"/>
    </row>
    <row r="80" spans="1:60" x14ac:dyDescent="0.25">
      <c r="A80" s="77"/>
      <c r="B80" s="77"/>
      <c r="C80" s="77"/>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7"/>
      <c r="AY80" s="77"/>
      <c r="AZ80" s="77"/>
      <c r="BA80" s="77"/>
      <c r="BB80" s="77"/>
      <c r="BC80" s="77"/>
      <c r="BD80" s="77"/>
      <c r="BE80" s="77"/>
      <c r="BF80" s="77"/>
      <c r="BG80" s="77"/>
      <c r="BH80" s="77"/>
    </row>
    <row r="81" spans="1:60" x14ac:dyDescent="0.25">
      <c r="A81" s="77"/>
      <c r="B81" s="77"/>
      <c r="C81" s="77"/>
      <c r="D81" s="77"/>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c r="AK81" s="77"/>
      <c r="AL81" s="77"/>
      <c r="AM81" s="77"/>
      <c r="AN81" s="77"/>
      <c r="AO81" s="77"/>
      <c r="AP81" s="77"/>
      <c r="AQ81" s="77"/>
      <c r="AR81" s="77"/>
      <c r="AS81" s="77"/>
      <c r="AT81" s="77"/>
      <c r="AU81" s="77"/>
      <c r="AV81" s="77"/>
      <c r="AW81" s="77"/>
      <c r="AX81" s="77"/>
      <c r="AY81" s="77"/>
      <c r="AZ81" s="77"/>
      <c r="BA81" s="77"/>
      <c r="BB81" s="77"/>
      <c r="BC81" s="77"/>
      <c r="BD81" s="77"/>
      <c r="BE81" s="77"/>
      <c r="BF81" s="77"/>
      <c r="BG81" s="77"/>
      <c r="BH81" s="77"/>
    </row>
    <row r="82" spans="1:60" x14ac:dyDescent="0.25">
      <c r="A82" s="77"/>
      <c r="B82" s="77"/>
      <c r="C82" s="77"/>
      <c r="D82" s="77"/>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c r="AK82" s="77"/>
      <c r="AL82" s="77"/>
      <c r="AM82" s="77"/>
      <c r="AN82" s="77"/>
      <c r="AO82" s="77"/>
      <c r="AP82" s="77"/>
      <c r="AQ82" s="77"/>
      <c r="AR82" s="77"/>
      <c r="AS82" s="77"/>
      <c r="AT82" s="77"/>
      <c r="AU82" s="77"/>
      <c r="AV82" s="77"/>
      <c r="AW82" s="77"/>
      <c r="AX82" s="77"/>
      <c r="AY82" s="77"/>
      <c r="AZ82" s="77"/>
      <c r="BA82" s="77"/>
      <c r="BB82" s="77"/>
      <c r="BC82" s="77"/>
      <c r="BD82" s="77"/>
      <c r="BE82" s="77"/>
      <c r="BF82" s="77"/>
      <c r="BG82" s="77"/>
      <c r="BH82" s="77"/>
    </row>
    <row r="83" spans="1:60" x14ac:dyDescent="0.25">
      <c r="A83" s="77"/>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row>
    <row r="84" spans="1:60" x14ac:dyDescent="0.25">
      <c r="A84" s="77"/>
      <c r="B84" s="77"/>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c r="AK84" s="77"/>
      <c r="AL84" s="77"/>
      <c r="AM84" s="77"/>
      <c r="AN84" s="77"/>
      <c r="AO84" s="77"/>
      <c r="AP84" s="77"/>
      <c r="AQ84" s="77"/>
      <c r="AR84" s="77"/>
      <c r="AS84" s="77"/>
      <c r="AT84" s="77"/>
      <c r="AU84" s="77"/>
      <c r="AV84" s="77"/>
      <c r="AW84" s="77"/>
      <c r="AX84" s="77"/>
      <c r="AY84" s="77"/>
      <c r="AZ84" s="77"/>
      <c r="BA84" s="77"/>
      <c r="BB84" s="77"/>
      <c r="BC84" s="77"/>
      <c r="BD84" s="77"/>
      <c r="BE84" s="77"/>
      <c r="BF84" s="77"/>
      <c r="BG84" s="77"/>
      <c r="BH84" s="77"/>
    </row>
    <row r="85" spans="1:60" x14ac:dyDescent="0.25">
      <c r="A85" s="77"/>
      <c r="B85" s="77"/>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7"/>
      <c r="AS85" s="77"/>
      <c r="AT85" s="77"/>
      <c r="AU85" s="77"/>
      <c r="AV85" s="77"/>
      <c r="AW85" s="77"/>
      <c r="AX85" s="77"/>
      <c r="AY85" s="77"/>
      <c r="AZ85" s="77"/>
      <c r="BA85" s="77"/>
      <c r="BB85" s="77"/>
      <c r="BC85" s="77"/>
      <c r="BD85" s="77"/>
      <c r="BE85" s="77"/>
      <c r="BF85" s="77"/>
      <c r="BG85" s="77"/>
      <c r="BH85" s="77"/>
    </row>
    <row r="86" spans="1:60" x14ac:dyDescent="0.25">
      <c r="A86" s="77"/>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77"/>
      <c r="AL86" s="77"/>
      <c r="AM86" s="77"/>
      <c r="AN86" s="77"/>
      <c r="AO86" s="77"/>
      <c r="AP86" s="77"/>
      <c r="AQ86" s="77"/>
      <c r="AR86" s="77"/>
      <c r="AS86" s="77"/>
      <c r="AT86" s="77"/>
      <c r="AU86" s="77"/>
      <c r="AV86" s="77"/>
      <c r="AW86" s="77"/>
      <c r="AX86" s="77"/>
      <c r="AY86" s="77"/>
      <c r="AZ86" s="77"/>
      <c r="BA86" s="77"/>
      <c r="BB86" s="77"/>
      <c r="BC86" s="77"/>
      <c r="BD86" s="77"/>
      <c r="BE86" s="77"/>
      <c r="BF86" s="77"/>
      <c r="BG86" s="77"/>
      <c r="BH86" s="77"/>
    </row>
    <row r="87" spans="1:60" x14ac:dyDescent="0.25">
      <c r="A87" s="77"/>
      <c r="B87" s="77"/>
      <c r="C87" s="77"/>
      <c r="D87" s="77"/>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77"/>
      <c r="AK87" s="77"/>
      <c r="AL87" s="77"/>
      <c r="AM87" s="77"/>
      <c r="AN87" s="77"/>
      <c r="AO87" s="77"/>
      <c r="AP87" s="77"/>
      <c r="AQ87" s="77"/>
      <c r="AR87" s="77"/>
      <c r="AS87" s="77"/>
      <c r="AT87" s="77"/>
      <c r="AU87" s="77"/>
      <c r="AV87" s="77"/>
      <c r="AW87" s="77"/>
      <c r="AX87" s="77"/>
      <c r="AY87" s="77"/>
      <c r="AZ87" s="77"/>
      <c r="BA87" s="77"/>
      <c r="BB87" s="77"/>
      <c r="BC87" s="77"/>
      <c r="BD87" s="77"/>
      <c r="BE87" s="77"/>
      <c r="BF87" s="77"/>
      <c r="BG87" s="77"/>
      <c r="BH87" s="77"/>
    </row>
    <row r="88" spans="1:60" x14ac:dyDescent="0.25">
      <c r="A88" s="77"/>
      <c r="B88" s="77"/>
      <c r="C88" s="77"/>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77"/>
      <c r="AW88" s="77"/>
      <c r="AX88" s="77"/>
      <c r="AY88" s="77"/>
      <c r="AZ88" s="77"/>
      <c r="BA88" s="77"/>
      <c r="BB88" s="77"/>
      <c r="BC88" s="77"/>
      <c r="BD88" s="77"/>
      <c r="BE88" s="77"/>
      <c r="BF88" s="77"/>
      <c r="BG88" s="77"/>
      <c r="BH88" s="77"/>
    </row>
    <row r="89" spans="1:60" x14ac:dyDescent="0.25">
      <c r="A89" s="77"/>
      <c r="B89" s="77"/>
      <c r="C89" s="77"/>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c r="AP89" s="77"/>
      <c r="AQ89" s="77"/>
      <c r="AR89" s="77"/>
      <c r="AS89" s="77"/>
      <c r="AT89" s="77"/>
      <c r="AU89" s="77"/>
      <c r="AV89" s="77"/>
      <c r="AW89" s="77"/>
      <c r="AX89" s="77"/>
      <c r="AY89" s="77"/>
      <c r="AZ89" s="77"/>
      <c r="BA89" s="77"/>
      <c r="BB89" s="77"/>
      <c r="BC89" s="77"/>
      <c r="BD89" s="77"/>
      <c r="BE89" s="77"/>
      <c r="BF89" s="77"/>
      <c r="BG89" s="77"/>
      <c r="BH89" s="77"/>
    </row>
    <row r="90" spans="1:60" x14ac:dyDescent="0.25">
      <c r="A90" s="77"/>
      <c r="B90" s="77"/>
      <c r="C90" s="77"/>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7"/>
      <c r="AP90" s="77"/>
      <c r="AQ90" s="77"/>
      <c r="AR90" s="77"/>
      <c r="AS90" s="77"/>
      <c r="AT90" s="77"/>
      <c r="AU90" s="77"/>
      <c r="AV90" s="77"/>
      <c r="AW90" s="77"/>
      <c r="AX90" s="77"/>
      <c r="AY90" s="77"/>
      <c r="AZ90" s="77"/>
      <c r="BA90" s="77"/>
      <c r="BB90" s="77"/>
      <c r="BC90" s="77"/>
      <c r="BD90" s="77"/>
      <c r="BE90" s="77"/>
      <c r="BF90" s="77"/>
      <c r="BG90" s="77"/>
      <c r="BH90" s="77"/>
    </row>
    <row r="91" spans="1:60" x14ac:dyDescent="0.25">
      <c r="A91" s="77"/>
      <c r="B91" s="77"/>
      <c r="C91" s="77"/>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7"/>
      <c r="AS91" s="77"/>
      <c r="AT91" s="77"/>
      <c r="AU91" s="77"/>
      <c r="AV91" s="77"/>
      <c r="AW91" s="77"/>
      <c r="AX91" s="77"/>
      <c r="AY91" s="77"/>
      <c r="AZ91" s="77"/>
      <c r="BA91" s="77"/>
      <c r="BB91" s="77"/>
      <c r="BC91" s="77"/>
      <c r="BD91" s="77"/>
      <c r="BE91" s="77"/>
      <c r="BF91" s="77"/>
      <c r="BG91" s="77"/>
      <c r="BH91" s="77"/>
    </row>
    <row r="92" spans="1:60" x14ac:dyDescent="0.25">
      <c r="A92" s="77"/>
      <c r="B92" s="77"/>
      <c r="C92" s="77"/>
      <c r="D92" s="77"/>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77"/>
      <c r="AK92" s="77"/>
      <c r="AL92" s="77"/>
      <c r="AM92" s="77"/>
      <c r="AN92" s="77"/>
      <c r="AO92" s="77"/>
      <c r="AP92" s="77"/>
      <c r="AQ92" s="77"/>
      <c r="AR92" s="77"/>
      <c r="AS92" s="77"/>
      <c r="AT92" s="77"/>
      <c r="AU92" s="77"/>
      <c r="AV92" s="77"/>
      <c r="AW92" s="77"/>
      <c r="AX92" s="77"/>
      <c r="AY92" s="77"/>
      <c r="AZ92" s="77"/>
      <c r="BA92" s="77"/>
      <c r="BB92" s="77"/>
      <c r="BC92" s="77"/>
      <c r="BD92" s="77"/>
      <c r="BE92" s="77"/>
      <c r="BF92" s="77"/>
      <c r="BG92" s="77"/>
      <c r="BH92" s="77"/>
    </row>
    <row r="93" spans="1:60" x14ac:dyDescent="0.25">
      <c r="A93" s="77"/>
      <c r="B93" s="77"/>
      <c r="C93" s="77"/>
      <c r="D93" s="77"/>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c r="AK93" s="77"/>
      <c r="AL93" s="77"/>
      <c r="AM93" s="77"/>
      <c r="AN93" s="77"/>
      <c r="AO93" s="77"/>
      <c r="AP93" s="77"/>
      <c r="AQ93" s="77"/>
      <c r="AR93" s="77"/>
      <c r="AS93" s="77"/>
      <c r="AT93" s="77"/>
      <c r="AU93" s="77"/>
      <c r="AV93" s="77"/>
      <c r="AW93" s="77"/>
      <c r="AX93" s="77"/>
      <c r="AY93" s="77"/>
      <c r="AZ93" s="77"/>
      <c r="BA93" s="77"/>
      <c r="BB93" s="77"/>
      <c r="BC93" s="77"/>
      <c r="BD93" s="77"/>
      <c r="BE93" s="77"/>
      <c r="BF93" s="77"/>
      <c r="BG93" s="77"/>
      <c r="BH93" s="77"/>
    </row>
    <row r="94" spans="1:60" x14ac:dyDescent="0.25">
      <c r="A94" s="77"/>
      <c r="B94" s="77"/>
      <c r="C94" s="77"/>
      <c r="D94" s="77"/>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77"/>
      <c r="AH94" s="77"/>
      <c r="AI94" s="77"/>
      <c r="AJ94" s="77"/>
      <c r="AK94" s="77"/>
      <c r="AL94" s="77"/>
      <c r="AM94" s="77"/>
      <c r="AN94" s="77"/>
      <c r="AO94" s="77"/>
      <c r="AP94" s="77"/>
      <c r="AQ94" s="77"/>
      <c r="AR94" s="77"/>
      <c r="AS94" s="77"/>
      <c r="AT94" s="77"/>
      <c r="AU94" s="77"/>
      <c r="AV94" s="77"/>
      <c r="AW94" s="77"/>
      <c r="AX94" s="77"/>
      <c r="AY94" s="77"/>
      <c r="AZ94" s="77"/>
      <c r="BA94" s="77"/>
      <c r="BB94" s="77"/>
      <c r="BC94" s="77"/>
      <c r="BD94" s="77"/>
      <c r="BE94" s="77"/>
      <c r="BF94" s="77"/>
      <c r="BG94" s="77"/>
      <c r="BH94" s="77"/>
    </row>
    <row r="95" spans="1:60" x14ac:dyDescent="0.25">
      <c r="A95" s="77"/>
      <c r="B95" s="77"/>
      <c r="C95" s="77"/>
      <c r="D95" s="77"/>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77"/>
      <c r="AK95" s="77"/>
      <c r="AL95" s="77"/>
      <c r="AM95" s="77"/>
      <c r="AN95" s="77"/>
      <c r="AO95" s="77"/>
      <c r="AP95" s="77"/>
      <c r="AQ95" s="77"/>
      <c r="AR95" s="77"/>
      <c r="AS95" s="77"/>
      <c r="AT95" s="77"/>
      <c r="AU95" s="77"/>
      <c r="AV95" s="77"/>
      <c r="AW95" s="77"/>
      <c r="AX95" s="77"/>
      <c r="AY95" s="77"/>
      <c r="AZ95" s="77"/>
      <c r="BA95" s="77"/>
      <c r="BB95" s="77"/>
      <c r="BC95" s="77"/>
      <c r="BD95" s="77"/>
      <c r="BE95" s="77"/>
      <c r="BF95" s="77"/>
      <c r="BG95" s="77"/>
      <c r="BH95" s="77"/>
    </row>
    <row r="96" spans="1:60" x14ac:dyDescent="0.25">
      <c r="A96" s="77"/>
      <c r="B96" s="77"/>
      <c r="C96" s="77"/>
      <c r="D96" s="77"/>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c r="AH96" s="77"/>
      <c r="AI96" s="77"/>
      <c r="AJ96" s="77"/>
      <c r="AK96" s="77"/>
      <c r="AL96" s="77"/>
      <c r="AM96" s="77"/>
      <c r="AN96" s="77"/>
      <c r="AO96" s="77"/>
      <c r="AP96" s="77"/>
      <c r="AQ96" s="77"/>
      <c r="AR96" s="77"/>
      <c r="AS96" s="77"/>
      <c r="AT96" s="77"/>
      <c r="AU96" s="77"/>
      <c r="AV96" s="77"/>
      <c r="AW96" s="77"/>
      <c r="AX96" s="77"/>
      <c r="AY96" s="77"/>
      <c r="AZ96" s="77"/>
      <c r="BA96" s="77"/>
      <c r="BB96" s="77"/>
      <c r="BC96" s="77"/>
      <c r="BD96" s="77"/>
      <c r="BE96" s="77"/>
      <c r="BF96" s="77"/>
      <c r="BG96" s="77"/>
      <c r="BH96" s="77"/>
    </row>
    <row r="97" spans="1:60" x14ac:dyDescent="0.25">
      <c r="A97" s="77"/>
      <c r="B97" s="77"/>
      <c r="C97" s="77"/>
      <c r="D97" s="77"/>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7"/>
      <c r="AK97" s="77"/>
      <c r="AL97" s="77"/>
      <c r="AM97" s="77"/>
      <c r="AN97" s="77"/>
      <c r="AO97" s="77"/>
      <c r="AP97" s="77"/>
      <c r="AQ97" s="77"/>
      <c r="AR97" s="77"/>
      <c r="AS97" s="77"/>
      <c r="AT97" s="77"/>
      <c r="AU97" s="77"/>
      <c r="AV97" s="77"/>
      <c r="AW97" s="77"/>
      <c r="AX97" s="77"/>
      <c r="AY97" s="77"/>
      <c r="AZ97" s="77"/>
      <c r="BA97" s="77"/>
      <c r="BB97" s="77"/>
      <c r="BC97" s="77"/>
      <c r="BD97" s="77"/>
      <c r="BE97" s="77"/>
      <c r="BF97" s="77"/>
      <c r="BG97" s="77"/>
      <c r="BH97" s="77"/>
    </row>
    <row r="98" spans="1:60" x14ac:dyDescent="0.25">
      <c r="A98" s="77"/>
      <c r="B98" s="77"/>
      <c r="C98" s="77"/>
      <c r="D98" s="77"/>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c r="AK98" s="77"/>
      <c r="AL98" s="77"/>
      <c r="AM98" s="77"/>
      <c r="AN98" s="77"/>
      <c r="AO98" s="77"/>
      <c r="AP98" s="77"/>
      <c r="AQ98" s="77"/>
      <c r="AR98" s="77"/>
      <c r="AS98" s="77"/>
      <c r="AT98" s="77"/>
      <c r="AU98" s="77"/>
      <c r="AV98" s="77"/>
      <c r="AW98" s="77"/>
      <c r="AX98" s="77"/>
      <c r="AY98" s="77"/>
      <c r="AZ98" s="77"/>
      <c r="BA98" s="77"/>
      <c r="BB98" s="77"/>
      <c r="BC98" s="77"/>
      <c r="BD98" s="77"/>
      <c r="BE98" s="77"/>
      <c r="BF98" s="77"/>
      <c r="BG98" s="77"/>
      <c r="BH98" s="77"/>
    </row>
    <row r="99" spans="1:60" x14ac:dyDescent="0.25">
      <c r="A99" s="77"/>
      <c r="B99" s="77"/>
      <c r="C99" s="77"/>
      <c r="D99" s="77"/>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7"/>
      <c r="AY99" s="77"/>
      <c r="AZ99" s="77"/>
      <c r="BA99" s="77"/>
      <c r="BB99" s="77"/>
      <c r="BC99" s="77"/>
      <c r="BD99" s="77"/>
      <c r="BE99" s="77"/>
      <c r="BF99" s="77"/>
      <c r="BG99" s="77"/>
      <c r="BH99" s="77"/>
    </row>
    <row r="100" spans="1:60" x14ac:dyDescent="0.25">
      <c r="A100" s="77"/>
      <c r="B100" s="77"/>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7"/>
      <c r="AY100" s="77"/>
      <c r="AZ100" s="77"/>
      <c r="BA100" s="77"/>
      <c r="BB100" s="77"/>
      <c r="BC100" s="77"/>
      <c r="BD100" s="77"/>
      <c r="BE100" s="77"/>
      <c r="BF100" s="77"/>
      <c r="BG100" s="77"/>
      <c r="BH100" s="77"/>
    </row>
    <row r="101" spans="1:60" x14ac:dyDescent="0.25">
      <c r="A101" s="77"/>
      <c r="B101" s="77"/>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7"/>
      <c r="AY101" s="77"/>
      <c r="AZ101" s="77"/>
      <c r="BA101" s="77"/>
      <c r="BB101" s="77"/>
      <c r="BC101" s="77"/>
      <c r="BD101" s="77"/>
      <c r="BE101" s="77"/>
      <c r="BF101" s="77"/>
      <c r="BG101" s="77"/>
      <c r="BH101" s="77"/>
    </row>
    <row r="102" spans="1:60" x14ac:dyDescent="0.25">
      <c r="A102" s="77"/>
      <c r="B102" s="77"/>
      <c r="C102" s="77"/>
      <c r="D102" s="77"/>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7"/>
      <c r="AY102" s="77"/>
      <c r="AZ102" s="77"/>
      <c r="BA102" s="77"/>
      <c r="BB102" s="77"/>
      <c r="BC102" s="77"/>
      <c r="BD102" s="77"/>
      <c r="BE102" s="77"/>
      <c r="BF102" s="77"/>
      <c r="BG102" s="77"/>
      <c r="BH102" s="77"/>
    </row>
    <row r="103" spans="1:60" x14ac:dyDescent="0.25">
      <c r="A103" s="77"/>
      <c r="B103" s="77"/>
      <c r="C103" s="77"/>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7"/>
      <c r="AY103" s="77"/>
      <c r="AZ103" s="77"/>
      <c r="BA103" s="77"/>
      <c r="BB103" s="77"/>
      <c r="BC103" s="77"/>
      <c r="BD103" s="77"/>
      <c r="BE103" s="77"/>
      <c r="BF103" s="77"/>
      <c r="BG103" s="77"/>
      <c r="BH103" s="77"/>
    </row>
    <row r="104" spans="1:60" x14ac:dyDescent="0.25">
      <c r="A104" s="77"/>
      <c r="B104" s="77"/>
      <c r="C104" s="77"/>
      <c r="D104" s="77"/>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c r="AK104" s="77"/>
      <c r="AL104" s="77"/>
      <c r="AM104" s="77"/>
      <c r="AN104" s="77"/>
      <c r="AO104" s="77"/>
      <c r="AP104" s="77"/>
      <c r="AQ104" s="77"/>
      <c r="AR104" s="77"/>
      <c r="AS104" s="77"/>
      <c r="AT104" s="77"/>
      <c r="AU104" s="77"/>
      <c r="AV104" s="77"/>
      <c r="AW104" s="77"/>
      <c r="AX104" s="77"/>
      <c r="AY104" s="77"/>
      <c r="AZ104" s="77"/>
      <c r="BA104" s="77"/>
      <c r="BB104" s="77"/>
      <c r="BC104" s="77"/>
      <c r="BD104" s="77"/>
      <c r="BE104" s="77"/>
      <c r="BF104" s="77"/>
      <c r="BG104" s="77"/>
      <c r="BH104" s="77"/>
    </row>
    <row r="105" spans="1:60" x14ac:dyDescent="0.25">
      <c r="A105" s="77"/>
      <c r="B105" s="77"/>
      <c r="C105" s="77"/>
      <c r="D105" s="77"/>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c r="AK105" s="77"/>
      <c r="AL105" s="77"/>
      <c r="AM105" s="77"/>
      <c r="AN105" s="77"/>
      <c r="AO105" s="77"/>
      <c r="AP105" s="77"/>
      <c r="AQ105" s="77"/>
      <c r="AR105" s="77"/>
      <c r="AS105" s="77"/>
      <c r="AT105" s="77"/>
      <c r="AU105" s="77"/>
      <c r="AV105" s="77"/>
      <c r="AW105" s="77"/>
      <c r="AX105" s="77"/>
      <c r="AY105" s="77"/>
      <c r="AZ105" s="77"/>
      <c r="BA105" s="77"/>
      <c r="BB105" s="77"/>
      <c r="BC105" s="77"/>
      <c r="BD105" s="77"/>
      <c r="BE105" s="77"/>
      <c r="BF105" s="77"/>
      <c r="BG105" s="77"/>
      <c r="BH105" s="77"/>
    </row>
    <row r="106" spans="1:60" x14ac:dyDescent="0.25">
      <c r="A106" s="77"/>
      <c r="B106" s="77"/>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c r="AK106" s="77"/>
      <c r="AL106" s="77"/>
      <c r="AM106" s="77"/>
      <c r="AN106" s="77"/>
      <c r="AO106" s="77"/>
      <c r="AP106" s="77"/>
      <c r="AQ106" s="77"/>
      <c r="AR106" s="77"/>
      <c r="AS106" s="77"/>
      <c r="AT106" s="77"/>
      <c r="AU106" s="77"/>
      <c r="AV106" s="77"/>
      <c r="AW106" s="77"/>
      <c r="AX106" s="77"/>
      <c r="AY106" s="77"/>
      <c r="AZ106" s="77"/>
      <c r="BA106" s="77"/>
      <c r="BB106" s="77"/>
      <c r="BC106" s="77"/>
      <c r="BD106" s="77"/>
      <c r="BE106" s="77"/>
      <c r="BF106" s="77"/>
      <c r="BG106" s="77"/>
      <c r="BH106" s="77"/>
    </row>
    <row r="107" spans="1:60" x14ac:dyDescent="0.25">
      <c r="A107" s="77"/>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c r="AK107" s="77"/>
      <c r="AL107" s="77"/>
      <c r="AM107" s="77"/>
      <c r="AN107" s="77"/>
      <c r="AO107" s="77"/>
      <c r="AP107" s="77"/>
      <c r="AQ107" s="77"/>
      <c r="AR107" s="77"/>
      <c r="AS107" s="77"/>
      <c r="AT107" s="77"/>
      <c r="AU107" s="77"/>
      <c r="AV107" s="77"/>
      <c r="AW107" s="77"/>
      <c r="AX107" s="77"/>
      <c r="AY107" s="77"/>
      <c r="AZ107" s="77"/>
      <c r="BA107" s="77"/>
      <c r="BB107" s="77"/>
      <c r="BC107" s="77"/>
      <c r="BD107" s="77"/>
      <c r="BE107" s="77"/>
      <c r="BF107" s="77"/>
      <c r="BG107" s="77"/>
      <c r="BH107" s="77"/>
    </row>
    <row r="108" spans="1:60" x14ac:dyDescent="0.25">
      <c r="A108" s="77"/>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c r="AK108" s="77"/>
      <c r="AL108" s="77"/>
      <c r="AM108" s="77"/>
      <c r="AN108" s="77"/>
      <c r="AO108" s="77"/>
      <c r="AP108" s="77"/>
      <c r="AQ108" s="77"/>
      <c r="AR108" s="77"/>
      <c r="AS108" s="77"/>
      <c r="AT108" s="77"/>
      <c r="AU108" s="77"/>
      <c r="AV108" s="77"/>
      <c r="AW108" s="77"/>
      <c r="AX108" s="77"/>
      <c r="AY108" s="77"/>
      <c r="AZ108" s="77"/>
      <c r="BA108" s="77"/>
      <c r="BB108" s="77"/>
      <c r="BC108" s="77"/>
      <c r="BD108" s="77"/>
      <c r="BE108" s="77"/>
      <c r="BF108" s="77"/>
      <c r="BG108" s="77"/>
      <c r="BH108" s="77"/>
    </row>
    <row r="109" spans="1:60" x14ac:dyDescent="0.25">
      <c r="A109" s="77"/>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c r="AG109" s="77"/>
      <c r="AH109" s="77"/>
      <c r="AI109" s="77"/>
      <c r="AJ109" s="77"/>
      <c r="AK109" s="77"/>
      <c r="AL109" s="77"/>
      <c r="AM109" s="77"/>
      <c r="AN109" s="77"/>
      <c r="AO109" s="77"/>
      <c r="AP109" s="77"/>
      <c r="AQ109" s="77"/>
      <c r="AR109" s="77"/>
      <c r="AS109" s="77"/>
      <c r="AT109" s="77"/>
      <c r="AU109" s="77"/>
      <c r="AV109" s="77"/>
      <c r="AW109" s="77"/>
      <c r="AX109" s="77"/>
      <c r="AY109" s="77"/>
      <c r="AZ109" s="77"/>
      <c r="BA109" s="77"/>
      <c r="BB109" s="77"/>
      <c r="BC109" s="77"/>
      <c r="BD109" s="77"/>
      <c r="BE109" s="77"/>
      <c r="BF109" s="77"/>
      <c r="BG109" s="77"/>
      <c r="BH109" s="77"/>
    </row>
    <row r="110" spans="1:60" x14ac:dyDescent="0.25">
      <c r="A110" s="77"/>
      <c r="B110" s="77"/>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c r="AK110" s="77"/>
      <c r="AL110" s="77"/>
      <c r="AM110" s="77"/>
      <c r="AN110" s="77"/>
      <c r="AO110" s="77"/>
      <c r="AP110" s="77"/>
      <c r="AQ110" s="77"/>
      <c r="AR110" s="77"/>
      <c r="AS110" s="77"/>
      <c r="AT110" s="77"/>
      <c r="AU110" s="77"/>
      <c r="AV110" s="77"/>
      <c r="AW110" s="77"/>
      <c r="AX110" s="77"/>
      <c r="AY110" s="77"/>
      <c r="AZ110" s="77"/>
      <c r="BA110" s="77"/>
      <c r="BB110" s="77"/>
      <c r="BC110" s="77"/>
      <c r="BD110" s="77"/>
      <c r="BE110" s="77"/>
      <c r="BF110" s="77"/>
      <c r="BG110" s="77"/>
      <c r="BH110" s="77"/>
    </row>
    <row r="111" spans="1:60" x14ac:dyDescent="0.25">
      <c r="A111" s="77"/>
      <c r="B111" s="77"/>
      <c r="C111" s="77"/>
      <c r="D111" s="77"/>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c r="AK111" s="77"/>
      <c r="AL111" s="77"/>
      <c r="AM111" s="77"/>
      <c r="AN111" s="77"/>
      <c r="AO111" s="77"/>
      <c r="AP111" s="77"/>
      <c r="AQ111" s="77"/>
      <c r="AR111" s="77"/>
      <c r="AS111" s="77"/>
      <c r="AT111" s="77"/>
      <c r="AU111" s="77"/>
      <c r="AV111" s="77"/>
      <c r="AW111" s="77"/>
      <c r="AX111" s="77"/>
      <c r="AY111" s="77"/>
      <c r="AZ111" s="77"/>
      <c r="BA111" s="77"/>
      <c r="BB111" s="77"/>
      <c r="BC111" s="77"/>
      <c r="BD111" s="77"/>
      <c r="BE111" s="77"/>
      <c r="BF111" s="77"/>
      <c r="BG111" s="77"/>
      <c r="BH111" s="77"/>
    </row>
    <row r="112" spans="1:60" x14ac:dyDescent="0.25">
      <c r="A112" s="77"/>
      <c r="B112" s="77"/>
      <c r="C112" s="77"/>
      <c r="D112" s="77"/>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7"/>
      <c r="AK112" s="77"/>
      <c r="AL112" s="77"/>
      <c r="AM112" s="77"/>
      <c r="AN112" s="77"/>
      <c r="AO112" s="77"/>
      <c r="AP112" s="77"/>
      <c r="AQ112" s="77"/>
      <c r="AR112" s="77"/>
      <c r="AS112" s="77"/>
      <c r="AT112" s="77"/>
      <c r="AU112" s="77"/>
      <c r="AV112" s="77"/>
      <c r="AW112" s="77"/>
      <c r="AX112" s="77"/>
      <c r="AY112" s="77"/>
      <c r="AZ112" s="77"/>
      <c r="BA112" s="77"/>
      <c r="BB112" s="77"/>
      <c r="BC112" s="77"/>
      <c r="BD112" s="77"/>
      <c r="BE112" s="77"/>
      <c r="BF112" s="77"/>
      <c r="BG112" s="77"/>
      <c r="BH112" s="77"/>
    </row>
    <row r="113" spans="1:60" x14ac:dyDescent="0.25">
      <c r="A113" s="77"/>
      <c r="B113" s="77"/>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c r="AK113" s="77"/>
      <c r="AL113" s="77"/>
      <c r="AM113" s="77"/>
      <c r="AN113" s="77"/>
      <c r="AO113" s="77"/>
      <c r="AP113" s="77"/>
      <c r="AQ113" s="77"/>
      <c r="AR113" s="77"/>
      <c r="AS113" s="77"/>
      <c r="AT113" s="77"/>
      <c r="AU113" s="77"/>
      <c r="AV113" s="77"/>
      <c r="AW113" s="77"/>
      <c r="AX113" s="77"/>
      <c r="AY113" s="77"/>
      <c r="AZ113" s="77"/>
      <c r="BA113" s="77"/>
      <c r="BB113" s="77"/>
      <c r="BC113" s="77"/>
      <c r="BD113" s="77"/>
      <c r="BE113" s="77"/>
      <c r="BF113" s="77"/>
      <c r="BG113" s="77"/>
      <c r="BH113" s="77"/>
    </row>
    <row r="114" spans="1:60" x14ac:dyDescent="0.25">
      <c r="A114" s="77"/>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c r="AG114" s="77"/>
      <c r="AH114" s="77"/>
      <c r="AI114" s="77"/>
      <c r="AJ114" s="77"/>
      <c r="AK114" s="77"/>
      <c r="AL114" s="77"/>
      <c r="AM114" s="77"/>
      <c r="AN114" s="77"/>
      <c r="AO114" s="77"/>
      <c r="AP114" s="77"/>
      <c r="AQ114" s="77"/>
      <c r="AR114" s="77"/>
      <c r="AS114" s="77"/>
      <c r="AT114" s="77"/>
      <c r="AU114" s="77"/>
      <c r="AV114" s="77"/>
      <c r="AW114" s="77"/>
      <c r="AX114" s="77"/>
      <c r="AY114" s="77"/>
      <c r="AZ114" s="77"/>
      <c r="BA114" s="77"/>
      <c r="BB114" s="77"/>
      <c r="BC114" s="77"/>
      <c r="BD114" s="77"/>
      <c r="BE114" s="77"/>
      <c r="BF114" s="77"/>
      <c r="BG114" s="77"/>
      <c r="BH114" s="77"/>
    </row>
    <row r="115" spans="1:60" x14ac:dyDescent="0.25">
      <c r="A115" s="77"/>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c r="AK115" s="77"/>
      <c r="AL115" s="77"/>
      <c r="AM115" s="77"/>
      <c r="AN115" s="77"/>
      <c r="AO115" s="77"/>
      <c r="AP115" s="77"/>
      <c r="AQ115" s="77"/>
      <c r="AR115" s="77"/>
      <c r="AS115" s="77"/>
      <c r="AT115" s="77"/>
      <c r="AU115" s="77"/>
      <c r="AV115" s="77"/>
      <c r="AW115" s="77"/>
      <c r="AX115" s="77"/>
      <c r="AY115" s="77"/>
      <c r="AZ115" s="77"/>
      <c r="BA115" s="77"/>
      <c r="BB115" s="77"/>
      <c r="BC115" s="77"/>
      <c r="BD115" s="77"/>
      <c r="BE115" s="77"/>
      <c r="BF115" s="77"/>
      <c r="BG115" s="77"/>
      <c r="BH115" s="77"/>
    </row>
    <row r="116" spans="1:60" x14ac:dyDescent="0.25">
      <c r="A116" s="77"/>
      <c r="B116" s="77"/>
      <c r="C116" s="77"/>
      <c r="D116" s="77"/>
      <c r="E116" s="77"/>
      <c r="F116" s="77"/>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c r="AE116" s="77"/>
      <c r="AF116" s="77"/>
      <c r="AG116" s="77"/>
      <c r="AH116" s="77"/>
      <c r="AI116" s="77"/>
      <c r="AJ116" s="77"/>
      <c r="AK116" s="77"/>
      <c r="AL116" s="77"/>
      <c r="AM116" s="77"/>
      <c r="AN116" s="77"/>
      <c r="AO116" s="77"/>
      <c r="AP116" s="77"/>
      <c r="AQ116" s="77"/>
      <c r="AR116" s="77"/>
      <c r="AS116" s="77"/>
      <c r="AT116" s="77"/>
      <c r="AU116" s="77"/>
      <c r="AV116" s="77"/>
      <c r="AW116" s="77"/>
      <c r="AX116" s="77"/>
      <c r="AY116" s="77"/>
      <c r="AZ116" s="77"/>
      <c r="BA116" s="77"/>
      <c r="BB116" s="77"/>
      <c r="BC116" s="77"/>
      <c r="BD116" s="77"/>
      <c r="BE116" s="77"/>
      <c r="BF116" s="77"/>
      <c r="BG116" s="77"/>
      <c r="BH116" s="77"/>
    </row>
    <row r="117" spans="1:60" x14ac:dyDescent="0.25">
      <c r="A117" s="77"/>
      <c r="B117" s="77"/>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c r="AK117" s="77"/>
      <c r="AL117" s="77"/>
      <c r="AM117" s="77"/>
      <c r="AN117" s="77"/>
      <c r="AO117" s="77"/>
      <c r="AP117" s="77"/>
      <c r="AQ117" s="77"/>
      <c r="AR117" s="77"/>
      <c r="AS117" s="77"/>
      <c r="AT117" s="77"/>
      <c r="AU117" s="77"/>
      <c r="AV117" s="77"/>
      <c r="AW117" s="77"/>
      <c r="AX117" s="77"/>
      <c r="AY117" s="77"/>
      <c r="AZ117" s="77"/>
      <c r="BA117" s="77"/>
      <c r="BB117" s="77"/>
      <c r="BC117" s="77"/>
      <c r="BD117" s="77"/>
      <c r="BE117" s="77"/>
      <c r="BF117" s="77"/>
      <c r="BG117" s="77"/>
      <c r="BH117" s="77"/>
    </row>
    <row r="118" spans="1:60" x14ac:dyDescent="0.25">
      <c r="A118" s="77"/>
      <c r="B118" s="77"/>
      <c r="C118" s="77"/>
      <c r="D118" s="77"/>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c r="AG118" s="77"/>
      <c r="AH118" s="77"/>
      <c r="AI118" s="77"/>
      <c r="AJ118" s="77"/>
      <c r="AK118" s="77"/>
      <c r="AL118" s="77"/>
      <c r="AM118" s="77"/>
      <c r="AN118" s="77"/>
      <c r="AO118" s="77"/>
      <c r="AP118" s="77"/>
      <c r="AQ118" s="77"/>
      <c r="AR118" s="77"/>
      <c r="AS118" s="77"/>
      <c r="AT118" s="77"/>
      <c r="AU118" s="77"/>
      <c r="AV118" s="77"/>
      <c r="AW118" s="77"/>
      <c r="AX118" s="77"/>
      <c r="AY118" s="77"/>
      <c r="AZ118" s="77"/>
      <c r="BA118" s="77"/>
      <c r="BB118" s="77"/>
      <c r="BC118" s="77"/>
      <c r="BD118" s="77"/>
      <c r="BE118" s="77"/>
      <c r="BF118" s="77"/>
      <c r="BG118" s="77"/>
      <c r="BH118" s="77"/>
    </row>
    <row r="119" spans="1:60" x14ac:dyDescent="0.25">
      <c r="A119" s="77"/>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c r="AG119" s="77"/>
      <c r="AH119" s="77"/>
      <c r="AI119" s="77"/>
      <c r="AJ119" s="77"/>
      <c r="AK119" s="77"/>
      <c r="AL119" s="77"/>
      <c r="AM119" s="77"/>
      <c r="AN119" s="77"/>
      <c r="AO119" s="77"/>
      <c r="AP119" s="77"/>
      <c r="AQ119" s="77"/>
      <c r="AR119" s="77"/>
      <c r="AS119" s="77"/>
      <c r="AT119" s="77"/>
      <c r="AU119" s="77"/>
      <c r="AV119" s="77"/>
      <c r="AW119" s="77"/>
      <c r="AX119" s="77"/>
      <c r="AY119" s="77"/>
      <c r="AZ119" s="77"/>
      <c r="BA119" s="77"/>
      <c r="BB119" s="77"/>
      <c r="BC119" s="77"/>
      <c r="BD119" s="77"/>
      <c r="BE119" s="77"/>
      <c r="BF119" s="77"/>
      <c r="BG119" s="77"/>
      <c r="BH119" s="77"/>
    </row>
    <row r="120" spans="1:60" x14ac:dyDescent="0.25">
      <c r="A120" s="77"/>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c r="AG120" s="77"/>
      <c r="AH120" s="77"/>
      <c r="AI120" s="77"/>
      <c r="AJ120" s="77"/>
      <c r="AK120" s="77"/>
      <c r="AL120" s="77"/>
      <c r="AM120" s="77"/>
      <c r="AN120" s="77"/>
      <c r="AO120" s="77"/>
      <c r="AP120" s="77"/>
      <c r="AQ120" s="77"/>
      <c r="AR120" s="77"/>
      <c r="AS120" s="77"/>
      <c r="AT120" s="77"/>
      <c r="AU120" s="77"/>
      <c r="AV120" s="77"/>
      <c r="AW120" s="77"/>
      <c r="AX120" s="77"/>
      <c r="AY120" s="77"/>
      <c r="AZ120" s="77"/>
      <c r="BA120" s="77"/>
      <c r="BB120" s="77"/>
      <c r="BC120" s="77"/>
      <c r="BD120" s="77"/>
      <c r="BE120" s="77"/>
      <c r="BF120" s="77"/>
      <c r="BG120" s="77"/>
      <c r="BH120" s="77"/>
    </row>
    <row r="121" spans="1:60" x14ac:dyDescent="0.25">
      <c r="A121" s="77"/>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c r="AG121" s="77"/>
      <c r="AH121" s="77"/>
      <c r="AI121" s="77"/>
      <c r="AJ121" s="77"/>
      <c r="AK121" s="77"/>
      <c r="AL121" s="77"/>
      <c r="AM121" s="77"/>
      <c r="AN121" s="77"/>
      <c r="AO121" s="77"/>
      <c r="AP121" s="77"/>
      <c r="AQ121" s="77"/>
      <c r="AR121" s="77"/>
      <c r="AS121" s="77"/>
      <c r="AT121" s="77"/>
      <c r="AU121" s="77"/>
      <c r="AV121" s="77"/>
      <c r="AW121" s="77"/>
      <c r="AX121" s="77"/>
      <c r="AY121" s="77"/>
      <c r="AZ121" s="77"/>
      <c r="BA121" s="77"/>
      <c r="BB121" s="77"/>
      <c r="BC121" s="77"/>
      <c r="BD121" s="77"/>
      <c r="BE121" s="77"/>
      <c r="BF121" s="77"/>
      <c r="BG121" s="77"/>
      <c r="BH121" s="77"/>
    </row>
    <row r="122" spans="1:60" x14ac:dyDescent="0.25">
      <c r="A122" s="77"/>
      <c r="B122" s="77"/>
      <c r="C122" s="77"/>
      <c r="D122" s="77"/>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7"/>
      <c r="AF122" s="77"/>
      <c r="AG122" s="77"/>
      <c r="AH122" s="77"/>
      <c r="AI122" s="77"/>
      <c r="AJ122" s="77"/>
      <c r="AK122" s="77"/>
      <c r="AL122" s="77"/>
      <c r="AM122" s="77"/>
      <c r="AN122" s="77"/>
      <c r="AO122" s="77"/>
      <c r="AP122" s="77"/>
      <c r="AQ122" s="77"/>
      <c r="AR122" s="77"/>
      <c r="AS122" s="77"/>
      <c r="AT122" s="77"/>
      <c r="AU122" s="77"/>
      <c r="AV122" s="77"/>
      <c r="AW122" s="77"/>
      <c r="AX122" s="77"/>
      <c r="AY122" s="77"/>
      <c r="AZ122" s="77"/>
      <c r="BA122" s="77"/>
      <c r="BB122" s="77"/>
      <c r="BC122" s="77"/>
      <c r="BD122" s="77"/>
      <c r="BE122" s="77"/>
      <c r="BF122" s="77"/>
      <c r="BG122" s="77"/>
      <c r="BH122" s="77"/>
    </row>
    <row r="123" spans="1:60" x14ac:dyDescent="0.25">
      <c r="A123" s="77"/>
      <c r="B123" s="77"/>
      <c r="C123" s="77"/>
      <c r="D123" s="77"/>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c r="AG123" s="77"/>
      <c r="AH123" s="77"/>
      <c r="AI123" s="77"/>
      <c r="AJ123" s="77"/>
      <c r="AK123" s="77"/>
      <c r="AL123" s="77"/>
      <c r="AM123" s="77"/>
      <c r="AN123" s="77"/>
      <c r="AO123" s="77"/>
      <c r="AP123" s="77"/>
      <c r="AQ123" s="77"/>
      <c r="AR123" s="77"/>
      <c r="AS123" s="77"/>
      <c r="AT123" s="77"/>
      <c r="AU123" s="77"/>
      <c r="AV123" s="77"/>
      <c r="AW123" s="77"/>
      <c r="AX123" s="77"/>
      <c r="AY123" s="77"/>
      <c r="AZ123" s="77"/>
      <c r="BA123" s="77"/>
      <c r="BB123" s="77"/>
      <c r="BC123" s="77"/>
      <c r="BD123" s="77"/>
      <c r="BE123" s="77"/>
      <c r="BF123" s="77"/>
      <c r="BG123" s="77"/>
      <c r="BH123" s="77"/>
    </row>
    <row r="124" spans="1:60" x14ac:dyDescent="0.25">
      <c r="A124" s="77"/>
      <c r="B124" s="77"/>
      <c r="C124" s="77"/>
      <c r="D124" s="77"/>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c r="AG124" s="77"/>
      <c r="AH124" s="77"/>
      <c r="AI124" s="77"/>
      <c r="AJ124" s="77"/>
      <c r="AK124" s="77"/>
      <c r="AL124" s="77"/>
      <c r="AM124" s="77"/>
      <c r="AN124" s="77"/>
      <c r="AO124" s="77"/>
      <c r="AP124" s="77"/>
      <c r="AQ124" s="77"/>
      <c r="AR124" s="77"/>
      <c r="AS124" s="77"/>
      <c r="AT124" s="77"/>
      <c r="AU124" s="77"/>
      <c r="AV124" s="77"/>
      <c r="AW124" s="77"/>
      <c r="AX124" s="77"/>
      <c r="AY124" s="77"/>
      <c r="AZ124" s="77"/>
      <c r="BA124" s="77"/>
      <c r="BB124" s="77"/>
      <c r="BC124" s="77"/>
      <c r="BD124" s="77"/>
      <c r="BE124" s="77"/>
      <c r="BF124" s="77"/>
      <c r="BG124" s="77"/>
      <c r="BH124" s="77"/>
    </row>
    <row r="125" spans="1:60" x14ac:dyDescent="0.25">
      <c r="A125" s="77"/>
      <c r="B125" s="77"/>
      <c r="C125" s="77"/>
      <c r="D125" s="77"/>
      <c r="E125" s="77"/>
      <c r="F125" s="77"/>
      <c r="G125" s="77"/>
      <c r="H125" s="77"/>
      <c r="I125" s="77"/>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c r="AG125" s="77"/>
      <c r="AH125" s="77"/>
      <c r="AI125" s="77"/>
      <c r="AJ125" s="77"/>
      <c r="AK125" s="77"/>
      <c r="AL125" s="77"/>
      <c r="AM125" s="77"/>
      <c r="AN125" s="77"/>
      <c r="AO125" s="77"/>
      <c r="AP125" s="77"/>
      <c r="AQ125" s="77"/>
      <c r="AR125" s="77"/>
      <c r="AS125" s="77"/>
      <c r="AT125" s="77"/>
      <c r="AU125" s="77"/>
      <c r="AV125" s="77"/>
      <c r="AW125" s="77"/>
      <c r="AX125" s="77"/>
      <c r="AY125" s="77"/>
      <c r="AZ125" s="77"/>
      <c r="BA125" s="77"/>
      <c r="BB125" s="77"/>
      <c r="BC125" s="77"/>
      <c r="BD125" s="77"/>
      <c r="BE125" s="77"/>
      <c r="BF125" s="77"/>
      <c r="BG125" s="77"/>
      <c r="BH125" s="77"/>
    </row>
    <row r="126" spans="1:60" x14ac:dyDescent="0.25">
      <c r="A126" s="77"/>
      <c r="B126" s="77"/>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c r="AA126" s="77"/>
      <c r="AB126" s="77"/>
      <c r="AC126" s="77"/>
      <c r="AD126" s="77"/>
      <c r="AE126" s="77"/>
      <c r="AF126" s="77"/>
      <c r="AG126" s="77"/>
      <c r="AH126" s="77"/>
      <c r="AI126" s="77"/>
      <c r="AJ126" s="77"/>
      <c r="AK126" s="77"/>
      <c r="AL126" s="77"/>
      <c r="AM126" s="77"/>
      <c r="AN126" s="77"/>
      <c r="AO126" s="77"/>
      <c r="AP126" s="77"/>
      <c r="AQ126" s="77"/>
      <c r="AR126" s="77"/>
      <c r="AS126" s="77"/>
      <c r="AT126" s="77"/>
      <c r="AU126" s="77"/>
      <c r="AV126" s="77"/>
      <c r="AW126" s="77"/>
      <c r="AX126" s="77"/>
      <c r="AY126" s="77"/>
      <c r="AZ126" s="77"/>
      <c r="BA126" s="77"/>
      <c r="BB126" s="77"/>
      <c r="BC126" s="77"/>
      <c r="BD126" s="77"/>
      <c r="BE126" s="77"/>
      <c r="BF126" s="77"/>
      <c r="BG126" s="77"/>
      <c r="BH126" s="77"/>
    </row>
    <row r="127" spans="1:60" x14ac:dyDescent="0.25">
      <c r="A127" s="77"/>
      <c r="B127" s="77"/>
      <c r="C127" s="77"/>
      <c r="D127" s="77"/>
      <c r="E127" s="77"/>
      <c r="F127" s="77"/>
      <c r="G127" s="77"/>
      <c r="H127" s="77"/>
      <c r="I127" s="77"/>
      <c r="J127" s="77"/>
      <c r="K127" s="77"/>
      <c r="L127" s="77"/>
      <c r="M127" s="77"/>
      <c r="N127" s="77"/>
      <c r="O127" s="77"/>
      <c r="P127" s="77"/>
      <c r="Q127" s="77"/>
      <c r="R127" s="77"/>
      <c r="S127" s="77"/>
      <c r="T127" s="77"/>
      <c r="U127" s="77"/>
      <c r="V127" s="77"/>
      <c r="W127" s="77"/>
      <c r="X127" s="77"/>
      <c r="Y127" s="77"/>
      <c r="Z127" s="77"/>
      <c r="AA127" s="77"/>
      <c r="AB127" s="77"/>
      <c r="AC127" s="77"/>
      <c r="AD127" s="77"/>
      <c r="AE127" s="77"/>
      <c r="AF127" s="77"/>
      <c r="AG127" s="77"/>
      <c r="AH127" s="77"/>
      <c r="AI127" s="77"/>
      <c r="AJ127" s="77"/>
      <c r="AK127" s="77"/>
      <c r="AL127" s="77"/>
      <c r="AM127" s="77"/>
      <c r="AN127" s="77"/>
      <c r="AO127" s="77"/>
      <c r="AP127" s="77"/>
      <c r="AQ127" s="77"/>
      <c r="AR127" s="77"/>
      <c r="AS127" s="77"/>
      <c r="AT127" s="77"/>
      <c r="AU127" s="77"/>
      <c r="AV127" s="77"/>
      <c r="AW127" s="77"/>
      <c r="AX127" s="77"/>
      <c r="AY127" s="77"/>
      <c r="AZ127" s="77"/>
      <c r="BA127" s="77"/>
      <c r="BB127" s="77"/>
      <c r="BC127" s="77"/>
      <c r="BD127" s="77"/>
      <c r="BE127" s="77"/>
      <c r="BF127" s="77"/>
      <c r="BG127" s="77"/>
      <c r="BH127" s="77"/>
    </row>
    <row r="128" spans="1:60" x14ac:dyDescent="0.25">
      <c r="A128" s="77"/>
      <c r="B128" s="77"/>
      <c r="C128" s="77"/>
      <c r="D128" s="77"/>
      <c r="E128" s="77"/>
      <c r="F128" s="77"/>
      <c r="G128" s="77"/>
      <c r="H128" s="77"/>
      <c r="I128" s="77"/>
      <c r="J128" s="77"/>
      <c r="K128" s="77"/>
      <c r="L128" s="77"/>
      <c r="M128" s="77"/>
      <c r="N128" s="77"/>
      <c r="O128" s="77"/>
      <c r="P128" s="77"/>
      <c r="Q128" s="77"/>
      <c r="R128" s="77"/>
      <c r="S128" s="77"/>
      <c r="T128" s="77"/>
      <c r="U128" s="77"/>
      <c r="V128" s="77"/>
      <c r="W128" s="77"/>
      <c r="X128" s="77"/>
      <c r="Y128" s="77"/>
      <c r="Z128" s="77"/>
      <c r="AA128" s="77"/>
      <c r="AB128" s="77"/>
      <c r="AC128" s="77"/>
      <c r="AD128" s="77"/>
      <c r="AE128" s="77"/>
      <c r="AF128" s="77"/>
      <c r="AG128" s="77"/>
      <c r="AH128" s="77"/>
      <c r="AI128" s="77"/>
      <c r="AJ128" s="77"/>
      <c r="AK128" s="77"/>
      <c r="AL128" s="77"/>
      <c r="AM128" s="77"/>
      <c r="AN128" s="77"/>
      <c r="AO128" s="77"/>
      <c r="AP128" s="77"/>
      <c r="AQ128" s="77"/>
      <c r="AR128" s="77"/>
      <c r="AS128" s="77"/>
      <c r="AT128" s="77"/>
      <c r="AU128" s="77"/>
      <c r="AV128" s="77"/>
      <c r="AW128" s="77"/>
      <c r="AX128" s="77"/>
      <c r="AY128" s="77"/>
      <c r="AZ128" s="77"/>
      <c r="BA128" s="77"/>
      <c r="BB128" s="77"/>
      <c r="BC128" s="77"/>
      <c r="BD128" s="77"/>
      <c r="BE128" s="77"/>
      <c r="BF128" s="77"/>
      <c r="BG128" s="77"/>
      <c r="BH128" s="77"/>
    </row>
    <row r="129" spans="1:60" x14ac:dyDescent="0.25">
      <c r="A129" s="77"/>
      <c r="B129" s="77"/>
      <c r="C129" s="77"/>
      <c r="D129" s="77"/>
      <c r="E129" s="77"/>
      <c r="F129" s="77"/>
      <c r="G129" s="77"/>
      <c r="H129" s="77"/>
      <c r="I129" s="77"/>
      <c r="J129" s="77"/>
      <c r="K129" s="77"/>
      <c r="L129" s="77"/>
      <c r="M129" s="77"/>
      <c r="N129" s="77"/>
      <c r="O129" s="77"/>
      <c r="P129" s="77"/>
      <c r="Q129" s="77"/>
      <c r="R129" s="77"/>
      <c r="S129" s="77"/>
      <c r="T129" s="77"/>
      <c r="U129" s="77"/>
      <c r="V129" s="77"/>
      <c r="W129" s="77"/>
      <c r="X129" s="77"/>
      <c r="Y129" s="77"/>
      <c r="Z129" s="77"/>
      <c r="AA129" s="77"/>
      <c r="AB129" s="77"/>
      <c r="AC129" s="77"/>
      <c r="AD129" s="77"/>
      <c r="AE129" s="77"/>
      <c r="AF129" s="77"/>
      <c r="AG129" s="77"/>
      <c r="AH129" s="77"/>
      <c r="AI129" s="77"/>
      <c r="AJ129" s="77"/>
      <c r="AK129" s="77"/>
      <c r="AL129" s="77"/>
      <c r="AM129" s="77"/>
      <c r="AN129" s="77"/>
      <c r="AO129" s="77"/>
      <c r="AP129" s="77"/>
      <c r="AQ129" s="77"/>
      <c r="AR129" s="77"/>
      <c r="AS129" s="77"/>
      <c r="AT129" s="77"/>
      <c r="AU129" s="77"/>
      <c r="AV129" s="77"/>
      <c r="AW129" s="77"/>
      <c r="AX129" s="77"/>
      <c r="AY129" s="77"/>
      <c r="AZ129" s="77"/>
      <c r="BA129" s="77"/>
      <c r="BB129" s="77"/>
      <c r="BC129" s="77"/>
      <c r="BD129" s="77"/>
      <c r="BE129" s="77"/>
      <c r="BF129" s="77"/>
      <c r="BG129" s="77"/>
      <c r="BH129" s="77"/>
    </row>
    <row r="130" spans="1:60" x14ac:dyDescent="0.25">
      <c r="A130" s="77"/>
      <c r="B130" s="77"/>
      <c r="C130" s="77"/>
      <c r="D130" s="77"/>
      <c r="E130" s="77"/>
      <c r="F130" s="77"/>
      <c r="G130" s="77"/>
      <c r="H130" s="77"/>
      <c r="I130" s="77"/>
      <c r="J130" s="77"/>
      <c r="K130" s="77"/>
      <c r="L130" s="77"/>
      <c r="M130" s="77"/>
      <c r="N130" s="77"/>
      <c r="O130" s="77"/>
      <c r="P130" s="77"/>
      <c r="Q130" s="77"/>
      <c r="R130" s="77"/>
      <c r="S130" s="77"/>
      <c r="T130" s="77"/>
      <c r="U130" s="77"/>
      <c r="V130" s="77"/>
      <c r="W130" s="77"/>
      <c r="X130" s="77"/>
      <c r="Y130" s="77"/>
      <c r="Z130" s="77"/>
      <c r="AA130" s="77"/>
      <c r="AB130" s="77"/>
      <c r="AC130" s="77"/>
      <c r="AD130" s="77"/>
      <c r="AE130" s="77"/>
      <c r="AF130" s="77"/>
      <c r="AG130" s="77"/>
      <c r="AH130" s="77"/>
      <c r="AI130" s="77"/>
      <c r="AJ130" s="77"/>
      <c r="AK130" s="77"/>
      <c r="AL130" s="77"/>
      <c r="AM130" s="77"/>
      <c r="AN130" s="77"/>
      <c r="AO130" s="77"/>
      <c r="AP130" s="77"/>
      <c r="AQ130" s="77"/>
      <c r="AR130" s="77"/>
      <c r="AS130" s="77"/>
      <c r="AT130" s="77"/>
      <c r="AU130" s="77"/>
      <c r="AV130" s="77"/>
      <c r="AW130" s="77"/>
      <c r="AX130" s="77"/>
      <c r="AY130" s="77"/>
      <c r="AZ130" s="77"/>
      <c r="BA130" s="77"/>
      <c r="BB130" s="77"/>
      <c r="BC130" s="77"/>
      <c r="BD130" s="77"/>
      <c r="BE130" s="77"/>
      <c r="BF130" s="77"/>
      <c r="BG130" s="77"/>
      <c r="BH130" s="77"/>
    </row>
    <row r="131" spans="1:60" x14ac:dyDescent="0.25">
      <c r="A131" s="77"/>
      <c r="B131" s="77"/>
      <c r="C131" s="77"/>
      <c r="D131" s="77"/>
      <c r="E131" s="77"/>
      <c r="F131" s="77"/>
      <c r="G131" s="77"/>
      <c r="H131" s="77"/>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c r="AG131" s="77"/>
      <c r="AH131" s="77"/>
      <c r="AI131" s="77"/>
      <c r="AJ131" s="77"/>
      <c r="AK131" s="77"/>
      <c r="AL131" s="77"/>
      <c r="AM131" s="77"/>
      <c r="AN131" s="77"/>
      <c r="AO131" s="77"/>
      <c r="AP131" s="77"/>
      <c r="AQ131" s="77"/>
      <c r="AR131" s="77"/>
      <c r="AS131" s="77"/>
      <c r="AT131" s="77"/>
      <c r="AU131" s="77"/>
      <c r="AV131" s="77"/>
      <c r="AW131" s="77"/>
      <c r="AX131" s="77"/>
      <c r="AY131" s="77"/>
      <c r="AZ131" s="77"/>
      <c r="BA131" s="77"/>
      <c r="BB131" s="77"/>
      <c r="BC131" s="77"/>
      <c r="BD131" s="77"/>
      <c r="BE131" s="77"/>
      <c r="BF131" s="77"/>
      <c r="BG131" s="77"/>
      <c r="BH131" s="77"/>
    </row>
    <row r="132" spans="1:60" x14ac:dyDescent="0.25">
      <c r="A132" s="77"/>
      <c r="B132" s="77"/>
      <c r="C132" s="77"/>
      <c r="D132" s="77"/>
      <c r="E132" s="77"/>
      <c r="F132" s="77"/>
      <c r="G132" s="77"/>
      <c r="H132" s="77"/>
      <c r="I132" s="77"/>
      <c r="J132" s="77"/>
      <c r="K132" s="77"/>
      <c r="L132" s="77"/>
      <c r="M132" s="77"/>
      <c r="N132" s="77"/>
      <c r="O132" s="77"/>
      <c r="P132" s="77"/>
      <c r="Q132" s="77"/>
      <c r="R132" s="77"/>
      <c r="S132" s="77"/>
      <c r="T132" s="77"/>
      <c r="U132" s="77"/>
      <c r="V132" s="77"/>
      <c r="W132" s="77"/>
      <c r="X132" s="77"/>
      <c r="Y132" s="77"/>
      <c r="Z132" s="77"/>
      <c r="AA132" s="77"/>
      <c r="AB132" s="77"/>
      <c r="AC132" s="77"/>
      <c r="AD132" s="77"/>
      <c r="AE132" s="77"/>
      <c r="AF132" s="77"/>
      <c r="AG132" s="77"/>
      <c r="AH132" s="77"/>
      <c r="AI132" s="77"/>
      <c r="AJ132" s="77"/>
      <c r="AK132" s="77"/>
      <c r="AL132" s="77"/>
      <c r="AM132" s="77"/>
      <c r="AN132" s="77"/>
      <c r="AO132" s="77"/>
      <c r="AP132" s="77"/>
      <c r="AQ132" s="77"/>
      <c r="AR132" s="77"/>
      <c r="AS132" s="77"/>
      <c r="AT132" s="77"/>
      <c r="AU132" s="77"/>
      <c r="AV132" s="77"/>
      <c r="AW132" s="77"/>
      <c r="AX132" s="77"/>
      <c r="AY132" s="77"/>
      <c r="AZ132" s="77"/>
      <c r="BA132" s="77"/>
      <c r="BB132" s="77"/>
      <c r="BC132" s="77"/>
      <c r="BD132" s="77"/>
      <c r="BE132" s="77"/>
      <c r="BF132" s="77"/>
      <c r="BG132" s="77"/>
      <c r="BH132" s="77"/>
    </row>
    <row r="133" spans="1:60" x14ac:dyDescent="0.25">
      <c r="A133" s="77"/>
      <c r="B133" s="77"/>
      <c r="C133" s="77"/>
      <c r="D133" s="77"/>
      <c r="E133" s="77"/>
      <c r="F133" s="77"/>
      <c r="G133" s="77"/>
      <c r="H133" s="77"/>
      <c r="I133" s="77"/>
      <c r="J133" s="77"/>
      <c r="K133" s="77"/>
      <c r="L133" s="77"/>
      <c r="M133" s="77"/>
      <c r="N133" s="77"/>
      <c r="O133" s="77"/>
      <c r="P133" s="77"/>
      <c r="Q133" s="77"/>
      <c r="R133" s="77"/>
      <c r="S133" s="77"/>
      <c r="T133" s="77"/>
      <c r="U133" s="77"/>
      <c r="V133" s="77"/>
      <c r="W133" s="77"/>
      <c r="X133" s="77"/>
      <c r="Y133" s="77"/>
      <c r="Z133" s="77"/>
      <c r="AA133" s="77"/>
      <c r="AB133" s="77"/>
      <c r="AC133" s="77"/>
      <c r="AD133" s="77"/>
      <c r="AE133" s="77"/>
      <c r="AF133" s="77"/>
      <c r="AG133" s="77"/>
      <c r="AH133" s="77"/>
      <c r="AI133" s="77"/>
      <c r="AJ133" s="77"/>
      <c r="AK133" s="77"/>
      <c r="AL133" s="77"/>
      <c r="AM133" s="77"/>
      <c r="AN133" s="77"/>
      <c r="AO133" s="77"/>
      <c r="AP133" s="77"/>
      <c r="AQ133" s="77"/>
      <c r="AR133" s="77"/>
      <c r="AS133" s="77"/>
      <c r="AT133" s="77"/>
      <c r="AU133" s="77"/>
      <c r="AV133" s="77"/>
      <c r="AW133" s="77"/>
      <c r="AX133" s="77"/>
      <c r="AY133" s="77"/>
      <c r="AZ133" s="77"/>
      <c r="BA133" s="77"/>
      <c r="BB133" s="77"/>
      <c r="BC133" s="77"/>
      <c r="BD133" s="77"/>
      <c r="BE133" s="77"/>
      <c r="BF133" s="77"/>
      <c r="BG133" s="77"/>
      <c r="BH133" s="77"/>
    </row>
    <row r="134" spans="1:60" x14ac:dyDescent="0.25">
      <c r="A134" s="77"/>
      <c r="B134" s="77"/>
      <c r="C134" s="77"/>
      <c r="D134" s="77"/>
      <c r="E134" s="77"/>
      <c r="F134" s="77"/>
      <c r="G134" s="77"/>
      <c r="H134" s="77"/>
      <c r="I134" s="77"/>
      <c r="J134" s="77"/>
      <c r="K134" s="77"/>
      <c r="L134" s="77"/>
      <c r="M134" s="77"/>
      <c r="N134" s="77"/>
      <c r="O134" s="77"/>
      <c r="P134" s="77"/>
      <c r="Q134" s="77"/>
      <c r="R134" s="77"/>
      <c r="S134" s="77"/>
      <c r="T134" s="77"/>
      <c r="U134" s="77"/>
      <c r="V134" s="77"/>
      <c r="W134" s="77"/>
      <c r="X134" s="77"/>
      <c r="Y134" s="77"/>
      <c r="Z134" s="77"/>
      <c r="AA134" s="77"/>
      <c r="AB134" s="77"/>
      <c r="AC134" s="77"/>
      <c r="AD134" s="77"/>
      <c r="AE134" s="77"/>
      <c r="AF134" s="77"/>
      <c r="AG134" s="77"/>
      <c r="AH134" s="77"/>
      <c r="AI134" s="77"/>
      <c r="AJ134" s="77"/>
      <c r="AK134" s="77"/>
      <c r="AL134" s="77"/>
      <c r="AM134" s="77"/>
      <c r="AN134" s="77"/>
      <c r="AO134" s="77"/>
      <c r="AP134" s="77"/>
      <c r="AQ134" s="77"/>
      <c r="AR134" s="77"/>
      <c r="AS134" s="77"/>
      <c r="AT134" s="77"/>
      <c r="AU134" s="77"/>
      <c r="AV134" s="77"/>
      <c r="AW134" s="77"/>
      <c r="AX134" s="77"/>
      <c r="AY134" s="77"/>
      <c r="AZ134" s="77"/>
      <c r="BA134" s="77"/>
      <c r="BB134" s="77"/>
      <c r="BC134" s="77"/>
      <c r="BD134" s="77"/>
      <c r="BE134" s="77"/>
      <c r="BF134" s="77"/>
      <c r="BG134" s="77"/>
      <c r="BH134" s="77"/>
    </row>
    <row r="135" spans="1:60" x14ac:dyDescent="0.25">
      <c r="A135" s="77"/>
      <c r="B135" s="77"/>
      <c r="C135" s="77"/>
      <c r="D135" s="77"/>
      <c r="E135" s="77"/>
      <c r="F135" s="77"/>
      <c r="G135" s="77"/>
      <c r="H135" s="77"/>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c r="AG135" s="77"/>
      <c r="AH135" s="77"/>
      <c r="AI135" s="77"/>
      <c r="AJ135" s="77"/>
      <c r="AK135" s="77"/>
      <c r="AL135" s="77"/>
      <c r="AM135" s="77"/>
      <c r="AN135" s="77"/>
      <c r="AO135" s="77"/>
      <c r="AP135" s="77"/>
      <c r="AQ135" s="77"/>
      <c r="AR135" s="77"/>
      <c r="AS135" s="77"/>
      <c r="AT135" s="77"/>
      <c r="AU135" s="77"/>
      <c r="AV135" s="77"/>
      <c r="AW135" s="77"/>
      <c r="AX135" s="77"/>
      <c r="AY135" s="77"/>
      <c r="AZ135" s="77"/>
      <c r="BA135" s="77"/>
      <c r="BB135" s="77"/>
      <c r="BC135" s="77"/>
      <c r="BD135" s="77"/>
      <c r="BE135" s="77"/>
      <c r="BF135" s="77"/>
      <c r="BG135" s="77"/>
      <c r="BH135" s="77"/>
    </row>
    <row r="136" spans="1:60" x14ac:dyDescent="0.25">
      <c r="A136" s="77"/>
      <c r="B136" s="77"/>
      <c r="C136" s="77"/>
      <c r="D136" s="77"/>
      <c r="E136" s="77"/>
      <c r="F136" s="77"/>
      <c r="G136" s="77"/>
      <c r="H136" s="77"/>
      <c r="I136" s="77"/>
      <c r="J136" s="77"/>
      <c r="K136" s="77"/>
      <c r="L136" s="77"/>
      <c r="M136" s="77"/>
      <c r="N136" s="77"/>
      <c r="O136" s="77"/>
      <c r="P136" s="77"/>
      <c r="Q136" s="77"/>
      <c r="R136" s="77"/>
      <c r="S136" s="77"/>
      <c r="T136" s="77"/>
      <c r="U136" s="77"/>
      <c r="V136" s="77"/>
      <c r="W136" s="77"/>
      <c r="X136" s="77"/>
      <c r="Y136" s="77"/>
      <c r="Z136" s="77"/>
      <c r="AA136" s="77"/>
      <c r="AB136" s="77"/>
      <c r="AC136" s="77"/>
      <c r="AD136" s="77"/>
      <c r="AE136" s="77"/>
      <c r="AF136" s="77"/>
      <c r="AG136" s="77"/>
      <c r="AH136" s="77"/>
      <c r="AI136" s="77"/>
      <c r="AJ136" s="77"/>
      <c r="AK136" s="77"/>
      <c r="AL136" s="77"/>
      <c r="AM136" s="77"/>
      <c r="AN136" s="77"/>
      <c r="AO136" s="77"/>
      <c r="AP136" s="77"/>
      <c r="AQ136" s="77"/>
      <c r="AR136" s="77"/>
      <c r="AS136" s="77"/>
      <c r="AT136" s="77"/>
      <c r="AU136" s="77"/>
      <c r="AV136" s="77"/>
      <c r="AW136" s="77"/>
      <c r="AX136" s="77"/>
      <c r="AY136" s="77"/>
      <c r="AZ136" s="77"/>
      <c r="BA136" s="77"/>
      <c r="BB136" s="77"/>
      <c r="BC136" s="77"/>
      <c r="BD136" s="77"/>
      <c r="BE136" s="77"/>
      <c r="BF136" s="77"/>
      <c r="BG136" s="77"/>
      <c r="BH136" s="77"/>
    </row>
    <row r="137" spans="1:60" x14ac:dyDescent="0.25">
      <c r="A137" s="77"/>
      <c r="B137" s="77"/>
      <c r="C137" s="77"/>
      <c r="D137" s="77"/>
      <c r="E137" s="77"/>
      <c r="F137" s="77"/>
      <c r="G137" s="77"/>
      <c r="H137" s="77"/>
      <c r="I137" s="77"/>
      <c r="J137" s="77"/>
      <c r="K137" s="77"/>
      <c r="L137" s="77"/>
      <c r="M137" s="77"/>
      <c r="N137" s="77"/>
      <c r="O137" s="77"/>
      <c r="P137" s="77"/>
      <c r="Q137" s="77"/>
      <c r="R137" s="77"/>
      <c r="S137" s="77"/>
      <c r="T137" s="77"/>
      <c r="U137" s="77"/>
      <c r="V137" s="77"/>
      <c r="W137" s="77"/>
      <c r="X137" s="77"/>
      <c r="Y137" s="77"/>
      <c r="Z137" s="77"/>
      <c r="AA137" s="77"/>
      <c r="AB137" s="77"/>
      <c r="AC137" s="77"/>
      <c r="AD137" s="77"/>
      <c r="AE137" s="77"/>
      <c r="AF137" s="77"/>
      <c r="AG137" s="77"/>
      <c r="AH137" s="77"/>
      <c r="AI137" s="77"/>
      <c r="AJ137" s="77"/>
      <c r="AK137" s="77"/>
      <c r="AL137" s="77"/>
      <c r="AM137" s="77"/>
      <c r="AN137" s="77"/>
      <c r="AO137" s="77"/>
      <c r="AP137" s="77"/>
      <c r="AQ137" s="77"/>
      <c r="AR137" s="77"/>
      <c r="AS137" s="77"/>
      <c r="AT137" s="77"/>
      <c r="AU137" s="77"/>
      <c r="AV137" s="77"/>
      <c r="AW137" s="77"/>
      <c r="AX137" s="77"/>
      <c r="AY137" s="77"/>
      <c r="AZ137" s="77"/>
      <c r="BA137" s="77"/>
      <c r="BB137" s="77"/>
      <c r="BC137" s="77"/>
      <c r="BD137" s="77"/>
      <c r="BE137" s="77"/>
      <c r="BF137" s="77"/>
      <c r="BG137" s="77"/>
      <c r="BH137" s="77"/>
    </row>
    <row r="138" spans="1:60" x14ac:dyDescent="0.25">
      <c r="A138" s="77"/>
      <c r="B138" s="77"/>
      <c r="C138" s="77"/>
      <c r="D138" s="77"/>
      <c r="E138" s="77"/>
      <c r="F138" s="77"/>
      <c r="G138" s="77"/>
      <c r="H138" s="77"/>
      <c r="I138" s="77"/>
      <c r="J138" s="77"/>
      <c r="K138" s="77"/>
      <c r="L138" s="77"/>
      <c r="M138" s="77"/>
      <c r="N138" s="77"/>
      <c r="O138" s="77"/>
      <c r="P138" s="77"/>
      <c r="Q138" s="77"/>
      <c r="R138" s="77"/>
      <c r="S138" s="77"/>
      <c r="T138" s="77"/>
      <c r="U138" s="77"/>
      <c r="V138" s="77"/>
      <c r="W138" s="77"/>
      <c r="X138" s="77"/>
      <c r="Y138" s="77"/>
      <c r="Z138" s="77"/>
      <c r="AA138" s="77"/>
      <c r="AB138" s="77"/>
      <c r="AC138" s="77"/>
      <c r="AD138" s="77"/>
      <c r="AE138" s="77"/>
      <c r="AF138" s="77"/>
      <c r="AG138" s="77"/>
      <c r="AH138" s="77"/>
      <c r="AI138" s="77"/>
      <c r="AJ138" s="77"/>
      <c r="AK138" s="77"/>
      <c r="AL138" s="77"/>
      <c r="AM138" s="77"/>
      <c r="AN138" s="77"/>
      <c r="AO138" s="77"/>
      <c r="AP138" s="77"/>
      <c r="AQ138" s="77"/>
      <c r="AR138" s="77"/>
      <c r="AS138" s="77"/>
      <c r="AT138" s="77"/>
      <c r="AU138" s="77"/>
      <c r="AV138" s="77"/>
      <c r="AW138" s="77"/>
      <c r="AX138" s="77"/>
      <c r="AY138" s="77"/>
      <c r="AZ138" s="77"/>
      <c r="BA138" s="77"/>
      <c r="BB138" s="77"/>
      <c r="BC138" s="77"/>
      <c r="BD138" s="77"/>
      <c r="BE138" s="77"/>
      <c r="BF138" s="77"/>
      <c r="BG138" s="77"/>
      <c r="BH138" s="77"/>
    </row>
    <row r="139" spans="1:60" x14ac:dyDescent="0.25">
      <c r="A139" s="77"/>
      <c r="B139" s="77"/>
      <c r="C139" s="77"/>
      <c r="D139" s="77"/>
      <c r="E139" s="77"/>
      <c r="F139" s="77"/>
      <c r="G139" s="77"/>
      <c r="H139" s="77"/>
      <c r="I139" s="77"/>
      <c r="J139" s="77"/>
      <c r="K139" s="77"/>
      <c r="L139" s="77"/>
      <c r="M139" s="77"/>
      <c r="N139" s="77"/>
      <c r="O139" s="77"/>
      <c r="P139" s="77"/>
      <c r="Q139" s="77"/>
      <c r="R139" s="77"/>
      <c r="S139" s="77"/>
      <c r="T139" s="77"/>
      <c r="U139" s="77"/>
      <c r="V139" s="77"/>
      <c r="W139" s="77"/>
      <c r="X139" s="77"/>
      <c r="Y139" s="77"/>
      <c r="Z139" s="77"/>
      <c r="AA139" s="77"/>
      <c r="AB139" s="77"/>
      <c r="AC139" s="77"/>
      <c r="AD139" s="77"/>
      <c r="AE139" s="77"/>
      <c r="AF139" s="77"/>
      <c r="AG139" s="77"/>
      <c r="AH139" s="77"/>
      <c r="AI139" s="77"/>
      <c r="AJ139" s="77"/>
      <c r="AK139" s="77"/>
      <c r="AL139" s="77"/>
      <c r="AM139" s="77"/>
      <c r="AN139" s="77"/>
      <c r="AO139" s="77"/>
      <c r="AP139" s="77"/>
      <c r="AQ139" s="77"/>
      <c r="AR139" s="77"/>
      <c r="AS139" s="77"/>
      <c r="AT139" s="77"/>
      <c r="AU139" s="77"/>
      <c r="AV139" s="77"/>
      <c r="AW139" s="77"/>
      <c r="AX139" s="77"/>
      <c r="AY139" s="77"/>
      <c r="AZ139" s="77"/>
      <c r="BA139" s="77"/>
      <c r="BB139" s="77"/>
      <c r="BC139" s="77"/>
      <c r="BD139" s="77"/>
      <c r="BE139" s="77"/>
      <c r="BF139" s="77"/>
      <c r="BG139" s="77"/>
      <c r="BH139" s="77"/>
    </row>
    <row r="140" spans="1:60" x14ac:dyDescent="0.25">
      <c r="A140" s="77"/>
      <c r="B140" s="77"/>
      <c r="C140" s="77"/>
      <c r="D140" s="77"/>
      <c r="E140" s="77"/>
      <c r="F140" s="77"/>
      <c r="G140" s="77"/>
      <c r="H140" s="77"/>
      <c r="I140" s="77"/>
      <c r="J140" s="77"/>
      <c r="K140" s="77"/>
      <c r="L140" s="77"/>
      <c r="M140" s="77"/>
      <c r="N140" s="77"/>
      <c r="O140" s="77"/>
      <c r="P140" s="77"/>
      <c r="Q140" s="77"/>
      <c r="R140" s="77"/>
      <c r="S140" s="77"/>
      <c r="T140" s="77"/>
      <c r="U140" s="77"/>
      <c r="V140" s="77"/>
      <c r="W140" s="77"/>
      <c r="X140" s="77"/>
      <c r="Y140" s="77"/>
      <c r="Z140" s="77"/>
      <c r="AA140" s="77"/>
      <c r="AB140" s="77"/>
      <c r="AC140" s="77"/>
      <c r="AD140" s="77"/>
      <c r="AE140" s="77"/>
      <c r="AF140" s="77"/>
      <c r="AG140" s="77"/>
      <c r="AH140" s="77"/>
      <c r="AI140" s="77"/>
      <c r="AJ140" s="77"/>
      <c r="AK140" s="77"/>
      <c r="AL140" s="77"/>
      <c r="AM140" s="77"/>
      <c r="AN140" s="77"/>
      <c r="AO140" s="77"/>
      <c r="AP140" s="77"/>
      <c r="AQ140" s="77"/>
      <c r="AR140" s="77"/>
      <c r="AS140" s="77"/>
      <c r="AT140" s="77"/>
      <c r="AU140" s="77"/>
      <c r="AV140" s="77"/>
      <c r="AW140" s="77"/>
      <c r="AX140" s="77"/>
      <c r="AY140" s="77"/>
      <c r="AZ140" s="77"/>
      <c r="BA140" s="77"/>
      <c r="BB140" s="77"/>
      <c r="BC140" s="77"/>
      <c r="BD140" s="77"/>
      <c r="BE140" s="77"/>
      <c r="BF140" s="77"/>
      <c r="BG140" s="77"/>
      <c r="BH140" s="77"/>
    </row>
    <row r="141" spans="1:60" x14ac:dyDescent="0.25">
      <c r="A141" s="77"/>
      <c r="B141" s="77"/>
      <c r="C141" s="77"/>
      <c r="D141" s="77"/>
      <c r="E141" s="77"/>
      <c r="F141" s="77"/>
      <c r="G141" s="77"/>
      <c r="H141" s="77"/>
      <c r="I141" s="77"/>
      <c r="J141" s="77"/>
      <c r="K141" s="77"/>
      <c r="L141" s="77"/>
      <c r="M141" s="77"/>
      <c r="N141" s="77"/>
      <c r="O141" s="77"/>
      <c r="P141" s="77"/>
      <c r="Q141" s="77"/>
      <c r="R141" s="77"/>
      <c r="S141" s="77"/>
      <c r="T141" s="77"/>
      <c r="U141" s="77"/>
      <c r="V141" s="77"/>
      <c r="W141" s="77"/>
      <c r="X141" s="77"/>
      <c r="Y141" s="77"/>
      <c r="Z141" s="77"/>
      <c r="AA141" s="77"/>
      <c r="AB141" s="77"/>
      <c r="AC141" s="77"/>
      <c r="AD141" s="77"/>
      <c r="AE141" s="77"/>
      <c r="AF141" s="77"/>
      <c r="AG141" s="77"/>
      <c r="AH141" s="77"/>
      <c r="AI141" s="77"/>
      <c r="AJ141" s="77"/>
      <c r="AK141" s="77"/>
      <c r="AL141" s="77"/>
      <c r="AM141" s="77"/>
      <c r="AN141" s="77"/>
      <c r="AO141" s="77"/>
      <c r="AP141" s="77"/>
      <c r="AQ141" s="77"/>
      <c r="AR141" s="77"/>
      <c r="AS141" s="77"/>
      <c r="AT141" s="77"/>
      <c r="AU141" s="77"/>
      <c r="AV141" s="77"/>
      <c r="AW141" s="77"/>
      <c r="AX141" s="77"/>
      <c r="AY141" s="77"/>
      <c r="AZ141" s="77"/>
      <c r="BA141" s="77"/>
      <c r="BB141" s="77"/>
      <c r="BC141" s="77"/>
      <c r="BD141" s="77"/>
      <c r="BE141" s="77"/>
      <c r="BF141" s="77"/>
      <c r="BG141" s="77"/>
      <c r="BH141" s="77"/>
    </row>
    <row r="142" spans="1:60" x14ac:dyDescent="0.25">
      <c r="A142" s="77"/>
      <c r="B142" s="77"/>
      <c r="C142" s="77"/>
      <c r="D142" s="77"/>
      <c r="E142" s="77"/>
      <c r="F142" s="77"/>
      <c r="G142" s="77"/>
      <c r="H142" s="77"/>
      <c r="I142" s="77"/>
      <c r="J142" s="77"/>
      <c r="K142" s="77"/>
      <c r="L142" s="77"/>
      <c r="M142" s="77"/>
      <c r="N142" s="77"/>
      <c r="O142" s="77"/>
      <c r="P142" s="77"/>
      <c r="Q142" s="77"/>
      <c r="R142" s="77"/>
      <c r="S142" s="77"/>
      <c r="T142" s="77"/>
      <c r="U142" s="77"/>
      <c r="V142" s="77"/>
      <c r="W142" s="77"/>
      <c r="X142" s="77"/>
      <c r="Y142" s="77"/>
      <c r="Z142" s="77"/>
      <c r="AA142" s="77"/>
      <c r="AB142" s="77"/>
      <c r="AC142" s="77"/>
      <c r="AD142" s="77"/>
      <c r="AE142" s="77"/>
      <c r="AF142" s="77"/>
      <c r="AG142" s="77"/>
      <c r="AH142" s="77"/>
      <c r="AI142" s="77"/>
      <c r="AJ142" s="77"/>
      <c r="AK142" s="77"/>
      <c r="AL142" s="77"/>
      <c r="AM142" s="77"/>
      <c r="AN142" s="77"/>
      <c r="AO142" s="77"/>
      <c r="AP142" s="77"/>
      <c r="AQ142" s="77"/>
      <c r="AR142" s="77"/>
      <c r="AS142" s="77"/>
      <c r="AT142" s="77"/>
      <c r="AU142" s="77"/>
      <c r="AV142" s="77"/>
      <c r="AW142" s="77"/>
      <c r="AX142" s="77"/>
      <c r="AY142" s="77"/>
      <c r="AZ142" s="77"/>
      <c r="BA142" s="77"/>
      <c r="BB142" s="77"/>
      <c r="BC142" s="77"/>
      <c r="BD142" s="77"/>
      <c r="BE142" s="77"/>
      <c r="BF142" s="77"/>
      <c r="BG142" s="77"/>
      <c r="BH142" s="77"/>
    </row>
    <row r="143" spans="1:60" x14ac:dyDescent="0.25">
      <c r="A143" s="77"/>
      <c r="B143" s="77"/>
      <c r="C143" s="77"/>
      <c r="D143" s="77"/>
      <c r="E143" s="77"/>
      <c r="F143" s="77"/>
      <c r="G143" s="77"/>
      <c r="H143" s="77"/>
      <c r="I143" s="77"/>
      <c r="J143" s="77"/>
      <c r="K143" s="77"/>
      <c r="L143" s="77"/>
      <c r="M143" s="77"/>
      <c r="N143" s="77"/>
      <c r="O143" s="77"/>
      <c r="P143" s="77"/>
      <c r="Q143" s="77"/>
      <c r="R143" s="77"/>
      <c r="S143" s="77"/>
      <c r="T143" s="77"/>
      <c r="U143" s="77"/>
      <c r="V143" s="77"/>
      <c r="W143" s="77"/>
      <c r="X143" s="77"/>
      <c r="Y143" s="77"/>
      <c r="Z143" s="77"/>
      <c r="AA143" s="77"/>
      <c r="AB143" s="77"/>
      <c r="AC143" s="77"/>
      <c r="AD143" s="77"/>
      <c r="AE143" s="77"/>
      <c r="AF143" s="77"/>
      <c r="AG143" s="77"/>
      <c r="AH143" s="77"/>
      <c r="AI143" s="77"/>
      <c r="AJ143" s="77"/>
      <c r="AK143" s="77"/>
      <c r="AL143" s="77"/>
      <c r="AM143" s="77"/>
      <c r="AN143" s="77"/>
      <c r="AO143" s="77"/>
      <c r="AP143" s="77"/>
      <c r="AQ143" s="77"/>
      <c r="AR143" s="77"/>
      <c r="AS143" s="77"/>
      <c r="AT143" s="77"/>
      <c r="AU143" s="77"/>
      <c r="AV143" s="77"/>
      <c r="AW143" s="77"/>
      <c r="AX143" s="77"/>
      <c r="AY143" s="77"/>
      <c r="AZ143" s="77"/>
      <c r="BA143" s="77"/>
      <c r="BB143" s="77"/>
      <c r="BC143" s="77"/>
      <c r="BD143" s="77"/>
      <c r="BE143" s="77"/>
      <c r="BF143" s="77"/>
      <c r="BG143" s="77"/>
      <c r="BH143" s="77"/>
    </row>
    <row r="144" spans="1:60" x14ac:dyDescent="0.25">
      <c r="A144" s="77"/>
      <c r="B144" s="77"/>
      <c r="C144" s="77"/>
      <c r="D144" s="77"/>
      <c r="E144" s="77"/>
      <c r="F144" s="77"/>
      <c r="G144" s="77"/>
      <c r="H144" s="77"/>
      <c r="I144" s="77"/>
      <c r="J144" s="77"/>
      <c r="K144" s="77"/>
      <c r="L144" s="77"/>
      <c r="M144" s="77"/>
      <c r="N144" s="77"/>
      <c r="O144" s="77"/>
      <c r="P144" s="77"/>
      <c r="Q144" s="77"/>
      <c r="R144" s="77"/>
      <c r="S144" s="77"/>
      <c r="T144" s="77"/>
      <c r="U144" s="77"/>
      <c r="V144" s="77"/>
      <c r="W144" s="77"/>
      <c r="X144" s="77"/>
      <c r="Y144" s="77"/>
      <c r="Z144" s="77"/>
      <c r="AA144" s="77"/>
      <c r="AB144" s="77"/>
      <c r="AC144" s="77"/>
      <c r="AD144" s="77"/>
      <c r="AE144" s="77"/>
      <c r="AF144" s="77"/>
      <c r="AG144" s="77"/>
      <c r="AH144" s="77"/>
      <c r="AI144" s="77"/>
      <c r="AJ144" s="77"/>
      <c r="AK144" s="77"/>
      <c r="AL144" s="77"/>
      <c r="AM144" s="77"/>
      <c r="AN144" s="77"/>
      <c r="AO144" s="77"/>
      <c r="AP144" s="77"/>
      <c r="AQ144" s="77"/>
      <c r="AR144" s="77"/>
      <c r="AS144" s="77"/>
      <c r="AT144" s="77"/>
      <c r="AU144" s="77"/>
      <c r="AV144" s="77"/>
      <c r="AW144" s="77"/>
      <c r="AX144" s="77"/>
      <c r="AY144" s="77"/>
      <c r="AZ144" s="77"/>
      <c r="BA144" s="77"/>
      <c r="BB144" s="77"/>
      <c r="BC144" s="77"/>
      <c r="BD144" s="77"/>
      <c r="BE144" s="77"/>
      <c r="BF144" s="77"/>
      <c r="BG144" s="77"/>
      <c r="BH144" s="77"/>
    </row>
    <row r="145" spans="1:60" x14ac:dyDescent="0.25">
      <c r="A145" s="77"/>
      <c r="B145" s="77"/>
      <c r="C145" s="77"/>
      <c r="D145" s="77"/>
      <c r="E145" s="77"/>
      <c r="F145" s="77"/>
      <c r="G145" s="77"/>
      <c r="H145" s="77"/>
      <c r="I145" s="77"/>
      <c r="J145" s="77"/>
      <c r="K145" s="77"/>
      <c r="L145" s="77"/>
      <c r="M145" s="77"/>
      <c r="N145" s="77"/>
      <c r="O145" s="77"/>
      <c r="P145" s="77"/>
      <c r="Q145" s="77"/>
      <c r="R145" s="77"/>
      <c r="S145" s="77"/>
      <c r="T145" s="77"/>
      <c r="U145" s="77"/>
      <c r="V145" s="77"/>
      <c r="W145" s="77"/>
      <c r="X145" s="77"/>
      <c r="Y145" s="77"/>
      <c r="Z145" s="77"/>
      <c r="AA145" s="77"/>
      <c r="AB145" s="77"/>
      <c r="AC145" s="77"/>
      <c r="AD145" s="77"/>
      <c r="AE145" s="77"/>
      <c r="AF145" s="77"/>
      <c r="AG145" s="77"/>
      <c r="AH145" s="77"/>
      <c r="AI145" s="77"/>
      <c r="AJ145" s="77"/>
      <c r="AK145" s="77"/>
      <c r="AL145" s="77"/>
      <c r="AM145" s="77"/>
      <c r="AN145" s="77"/>
      <c r="AO145" s="77"/>
      <c r="AP145" s="77"/>
      <c r="AQ145" s="77"/>
      <c r="AR145" s="77"/>
      <c r="AS145" s="77"/>
      <c r="AT145" s="77"/>
      <c r="AU145" s="77"/>
      <c r="AV145" s="77"/>
      <c r="AW145" s="77"/>
      <c r="AX145" s="77"/>
      <c r="AY145" s="77"/>
      <c r="AZ145" s="77"/>
      <c r="BA145" s="77"/>
      <c r="BB145" s="77"/>
      <c r="BC145" s="77"/>
      <c r="BD145" s="77"/>
      <c r="BE145" s="77"/>
      <c r="BF145" s="77"/>
      <c r="BG145" s="77"/>
      <c r="BH145" s="77"/>
    </row>
    <row r="146" spans="1:60" x14ac:dyDescent="0.25">
      <c r="A146" s="77"/>
      <c r="B146" s="77"/>
      <c r="C146" s="77"/>
      <c r="D146" s="77"/>
      <c r="E146" s="77"/>
      <c r="F146" s="77"/>
      <c r="G146" s="77"/>
      <c r="H146" s="77"/>
      <c r="I146" s="77"/>
      <c r="J146" s="77"/>
      <c r="K146" s="77"/>
      <c r="L146" s="77"/>
      <c r="M146" s="77"/>
      <c r="N146" s="77"/>
      <c r="O146" s="77"/>
      <c r="P146" s="77"/>
      <c r="Q146" s="77"/>
      <c r="R146" s="77"/>
      <c r="S146" s="77"/>
      <c r="T146" s="77"/>
      <c r="U146" s="77"/>
      <c r="V146" s="77"/>
      <c r="W146" s="77"/>
      <c r="X146" s="77"/>
      <c r="Y146" s="77"/>
      <c r="Z146" s="77"/>
      <c r="AA146" s="77"/>
      <c r="AB146" s="77"/>
      <c r="AC146" s="77"/>
      <c r="AD146" s="77"/>
      <c r="AE146" s="77"/>
      <c r="AF146" s="77"/>
      <c r="AG146" s="77"/>
      <c r="AH146" s="77"/>
      <c r="AI146" s="77"/>
      <c r="AJ146" s="77"/>
      <c r="AK146" s="77"/>
      <c r="AL146" s="77"/>
      <c r="AM146" s="77"/>
      <c r="AN146" s="77"/>
      <c r="AO146" s="77"/>
      <c r="AP146" s="77"/>
      <c r="AQ146" s="77"/>
      <c r="AR146" s="77"/>
      <c r="AS146" s="77"/>
      <c r="AT146" s="77"/>
      <c r="AU146" s="77"/>
      <c r="AV146" s="77"/>
      <c r="AW146" s="77"/>
      <c r="AX146" s="77"/>
      <c r="AY146" s="77"/>
      <c r="AZ146" s="77"/>
      <c r="BA146" s="77"/>
      <c r="BB146" s="77"/>
      <c r="BC146" s="77"/>
      <c r="BD146" s="77"/>
      <c r="BE146" s="77"/>
      <c r="BF146" s="77"/>
      <c r="BG146" s="77"/>
      <c r="BH146" s="77"/>
    </row>
    <row r="147" spans="1:60" x14ac:dyDescent="0.25">
      <c r="A147" s="77"/>
      <c r="B147" s="77"/>
      <c r="C147" s="77"/>
      <c r="D147" s="77"/>
      <c r="E147" s="77"/>
      <c r="F147" s="77"/>
      <c r="G147" s="77"/>
      <c r="H147" s="77"/>
      <c r="I147" s="77"/>
      <c r="J147" s="77"/>
      <c r="K147" s="77"/>
      <c r="L147" s="77"/>
      <c r="M147" s="77"/>
      <c r="N147" s="77"/>
      <c r="O147" s="77"/>
      <c r="P147" s="77"/>
      <c r="Q147" s="77"/>
      <c r="R147" s="77"/>
      <c r="S147" s="77"/>
      <c r="T147" s="77"/>
      <c r="U147" s="77"/>
      <c r="V147" s="77"/>
      <c r="W147" s="77"/>
      <c r="X147" s="77"/>
      <c r="Y147" s="77"/>
      <c r="Z147" s="77"/>
      <c r="AA147" s="77"/>
      <c r="AB147" s="77"/>
      <c r="AC147" s="77"/>
      <c r="AD147" s="77"/>
      <c r="AE147" s="77"/>
      <c r="AF147" s="77"/>
      <c r="AG147" s="77"/>
      <c r="AH147" s="77"/>
      <c r="AI147" s="77"/>
      <c r="AJ147" s="77"/>
      <c r="AK147" s="77"/>
      <c r="AL147" s="77"/>
      <c r="AM147" s="77"/>
      <c r="AN147" s="77"/>
      <c r="AO147" s="77"/>
      <c r="AP147" s="77"/>
      <c r="AQ147" s="77"/>
      <c r="AR147" s="77"/>
      <c r="AS147" s="77"/>
      <c r="AT147" s="77"/>
      <c r="AU147" s="77"/>
      <c r="AV147" s="77"/>
      <c r="AW147" s="77"/>
      <c r="AX147" s="77"/>
      <c r="AY147" s="77"/>
      <c r="AZ147" s="77"/>
      <c r="BA147" s="77"/>
      <c r="BB147" s="77"/>
      <c r="BC147" s="77"/>
      <c r="BD147" s="77"/>
      <c r="BE147" s="77"/>
      <c r="BF147" s="77"/>
      <c r="BG147" s="77"/>
      <c r="BH147" s="77"/>
    </row>
    <row r="148" spans="1:60" x14ac:dyDescent="0.25">
      <c r="A148" s="77"/>
      <c r="B148" s="77"/>
      <c r="C148" s="77"/>
      <c r="D148" s="77"/>
      <c r="E148" s="77"/>
      <c r="F148" s="77"/>
      <c r="G148" s="77"/>
      <c r="H148" s="77"/>
      <c r="I148" s="77"/>
      <c r="J148" s="77"/>
      <c r="K148" s="77"/>
      <c r="L148" s="77"/>
      <c r="M148" s="77"/>
      <c r="N148" s="77"/>
      <c r="O148" s="77"/>
      <c r="P148" s="77"/>
      <c r="Q148" s="77"/>
      <c r="R148" s="77"/>
      <c r="S148" s="77"/>
      <c r="T148" s="77"/>
      <c r="U148" s="77"/>
      <c r="V148" s="77"/>
      <c r="W148" s="77"/>
      <c r="X148" s="77"/>
      <c r="Y148" s="77"/>
      <c r="Z148" s="77"/>
      <c r="AA148" s="77"/>
      <c r="AB148" s="77"/>
      <c r="AC148" s="77"/>
      <c r="AD148" s="77"/>
      <c r="AE148" s="77"/>
      <c r="AF148" s="77"/>
      <c r="AG148" s="77"/>
      <c r="AH148" s="77"/>
      <c r="AI148" s="77"/>
      <c r="AJ148" s="77"/>
      <c r="AK148" s="77"/>
      <c r="AL148" s="77"/>
      <c r="AM148" s="77"/>
      <c r="AN148" s="77"/>
      <c r="AO148" s="77"/>
      <c r="AP148" s="77"/>
      <c r="AQ148" s="77"/>
      <c r="AR148" s="77"/>
      <c r="AS148" s="77"/>
      <c r="AT148" s="77"/>
      <c r="AU148" s="77"/>
      <c r="AV148" s="77"/>
      <c r="AW148" s="77"/>
      <c r="AX148" s="77"/>
      <c r="AY148" s="77"/>
      <c r="AZ148" s="77"/>
      <c r="BA148" s="77"/>
      <c r="BB148" s="77"/>
      <c r="BC148" s="77"/>
      <c r="BD148" s="77"/>
      <c r="BE148" s="77"/>
      <c r="BF148" s="77"/>
      <c r="BG148" s="77"/>
      <c r="BH148" s="77"/>
    </row>
    <row r="149" spans="1:60" x14ac:dyDescent="0.25">
      <c r="A149" s="77"/>
      <c r="B149" s="77"/>
      <c r="C149" s="77"/>
      <c r="D149" s="77"/>
      <c r="E149" s="77"/>
      <c r="F149" s="77"/>
      <c r="G149" s="77"/>
      <c r="H149" s="77"/>
      <c r="I149" s="77"/>
      <c r="J149" s="77"/>
      <c r="K149" s="77"/>
      <c r="L149" s="77"/>
      <c r="M149" s="77"/>
      <c r="N149" s="77"/>
      <c r="O149" s="77"/>
      <c r="P149" s="77"/>
      <c r="Q149" s="77"/>
      <c r="R149" s="77"/>
      <c r="S149" s="77"/>
      <c r="T149" s="77"/>
      <c r="U149" s="77"/>
      <c r="V149" s="77"/>
      <c r="W149" s="77"/>
      <c r="X149" s="77"/>
      <c r="Y149" s="77"/>
      <c r="Z149" s="77"/>
      <c r="AA149" s="77"/>
      <c r="AB149" s="77"/>
      <c r="AC149" s="77"/>
      <c r="AD149" s="77"/>
      <c r="AE149" s="77"/>
      <c r="AF149" s="77"/>
      <c r="AG149" s="77"/>
      <c r="AH149" s="77"/>
      <c r="AI149" s="77"/>
      <c r="AJ149" s="77"/>
      <c r="AK149" s="77"/>
      <c r="AL149" s="77"/>
      <c r="AM149" s="77"/>
      <c r="AN149" s="77"/>
      <c r="AO149" s="77"/>
      <c r="AP149" s="77"/>
      <c r="AQ149" s="77"/>
      <c r="AR149" s="77"/>
      <c r="AS149" s="77"/>
      <c r="AT149" s="77"/>
      <c r="AU149" s="77"/>
      <c r="AV149" s="77"/>
      <c r="AW149" s="77"/>
      <c r="AX149" s="77"/>
      <c r="AY149" s="77"/>
      <c r="AZ149" s="77"/>
      <c r="BA149" s="77"/>
      <c r="BB149" s="77"/>
      <c r="BC149" s="77"/>
      <c r="BD149" s="77"/>
      <c r="BE149" s="77"/>
      <c r="BF149" s="77"/>
      <c r="BG149" s="77"/>
      <c r="BH149" s="77"/>
    </row>
    <row r="150" spans="1:60" x14ac:dyDescent="0.25">
      <c r="A150" s="77"/>
      <c r="B150" s="77"/>
      <c r="C150" s="77"/>
      <c r="D150" s="77"/>
      <c r="E150" s="77"/>
      <c r="F150" s="77"/>
      <c r="G150" s="77"/>
      <c r="H150" s="77"/>
      <c r="I150" s="77"/>
      <c r="J150" s="77"/>
      <c r="K150" s="77"/>
      <c r="L150" s="77"/>
      <c r="M150" s="77"/>
      <c r="N150" s="77"/>
      <c r="O150" s="77"/>
      <c r="P150" s="77"/>
      <c r="Q150" s="77"/>
      <c r="R150" s="77"/>
      <c r="S150" s="77"/>
      <c r="T150" s="77"/>
      <c r="U150" s="77"/>
      <c r="V150" s="77"/>
      <c r="W150" s="77"/>
      <c r="X150" s="77"/>
      <c r="Y150" s="77"/>
      <c r="Z150" s="77"/>
      <c r="AA150" s="77"/>
      <c r="AB150" s="77"/>
      <c r="AC150" s="77"/>
      <c r="AD150" s="77"/>
      <c r="AE150" s="77"/>
      <c r="AF150" s="77"/>
      <c r="AG150" s="77"/>
      <c r="AH150" s="77"/>
      <c r="AI150" s="77"/>
      <c r="AJ150" s="77"/>
      <c r="AK150" s="77"/>
      <c r="AL150" s="77"/>
      <c r="AM150" s="77"/>
      <c r="AN150" s="77"/>
      <c r="AO150" s="77"/>
      <c r="AP150" s="77"/>
      <c r="AQ150" s="77"/>
      <c r="AR150" s="77"/>
      <c r="AS150" s="77"/>
      <c r="AT150" s="77"/>
      <c r="AU150" s="77"/>
      <c r="AV150" s="77"/>
      <c r="AW150" s="77"/>
      <c r="AX150" s="77"/>
      <c r="AY150" s="77"/>
      <c r="AZ150" s="77"/>
      <c r="BA150" s="77"/>
      <c r="BB150" s="77"/>
      <c r="BC150" s="77"/>
      <c r="BD150" s="77"/>
      <c r="BE150" s="77"/>
      <c r="BF150" s="77"/>
      <c r="BG150" s="77"/>
      <c r="BH150" s="77"/>
    </row>
    <row r="151" spans="1:60" x14ac:dyDescent="0.25">
      <c r="A151" s="77"/>
      <c r="B151" s="77"/>
      <c r="C151" s="77"/>
      <c r="D151" s="77"/>
      <c r="E151" s="77"/>
      <c r="F151" s="77"/>
      <c r="G151" s="77"/>
      <c r="H151" s="77"/>
      <c r="I151" s="77"/>
      <c r="J151" s="77"/>
      <c r="K151" s="77"/>
      <c r="L151" s="77"/>
      <c r="M151" s="77"/>
      <c r="N151" s="77"/>
      <c r="O151" s="77"/>
      <c r="P151" s="77"/>
      <c r="Q151" s="77"/>
      <c r="R151" s="77"/>
      <c r="S151" s="77"/>
      <c r="T151" s="77"/>
      <c r="U151" s="77"/>
      <c r="V151" s="77"/>
      <c r="W151" s="77"/>
      <c r="X151" s="77"/>
      <c r="Y151" s="77"/>
      <c r="Z151" s="77"/>
      <c r="AA151" s="77"/>
      <c r="AB151" s="77"/>
      <c r="AC151" s="77"/>
      <c r="AD151" s="77"/>
      <c r="AE151" s="77"/>
      <c r="AF151" s="77"/>
      <c r="AG151" s="77"/>
      <c r="AH151" s="77"/>
      <c r="AI151" s="77"/>
      <c r="AJ151" s="77"/>
      <c r="AK151" s="77"/>
      <c r="AL151" s="77"/>
      <c r="AM151" s="77"/>
      <c r="AN151" s="77"/>
      <c r="AO151" s="77"/>
      <c r="AP151" s="77"/>
      <c r="AQ151" s="77"/>
      <c r="AR151" s="77"/>
      <c r="AS151" s="77"/>
      <c r="AT151" s="77"/>
      <c r="AU151" s="77"/>
      <c r="AV151" s="77"/>
      <c r="AW151" s="77"/>
      <c r="AX151" s="77"/>
      <c r="AY151" s="77"/>
      <c r="AZ151" s="77"/>
      <c r="BA151" s="77"/>
      <c r="BB151" s="77"/>
      <c r="BC151" s="77"/>
      <c r="BD151" s="77"/>
      <c r="BE151" s="77"/>
      <c r="BF151" s="77"/>
      <c r="BG151" s="77"/>
      <c r="BH151" s="77"/>
    </row>
    <row r="152" spans="1:60" x14ac:dyDescent="0.25">
      <c r="A152" s="77"/>
      <c r="B152" s="77"/>
      <c r="C152" s="77"/>
      <c r="D152" s="77"/>
      <c r="E152" s="77"/>
      <c r="F152" s="77"/>
      <c r="G152" s="77"/>
      <c r="H152" s="77"/>
      <c r="I152" s="77"/>
      <c r="J152" s="77"/>
      <c r="K152" s="77"/>
      <c r="L152" s="77"/>
      <c r="M152" s="77"/>
      <c r="N152" s="77"/>
      <c r="O152" s="77"/>
      <c r="P152" s="77"/>
      <c r="Q152" s="77"/>
      <c r="R152" s="77"/>
      <c r="S152" s="77"/>
      <c r="T152" s="77"/>
      <c r="U152" s="77"/>
      <c r="V152" s="77"/>
      <c r="W152" s="77"/>
      <c r="X152" s="77"/>
      <c r="Y152" s="77"/>
      <c r="Z152" s="77"/>
      <c r="AA152" s="77"/>
      <c r="AB152" s="77"/>
      <c r="AC152" s="77"/>
      <c r="AD152" s="77"/>
      <c r="AE152" s="77"/>
      <c r="AF152" s="77"/>
      <c r="AG152" s="77"/>
      <c r="AH152" s="77"/>
      <c r="AI152" s="77"/>
      <c r="AJ152" s="77"/>
      <c r="AK152" s="77"/>
      <c r="AL152" s="77"/>
      <c r="AM152" s="77"/>
      <c r="AN152" s="77"/>
      <c r="AO152" s="77"/>
      <c r="AP152" s="77"/>
      <c r="AQ152" s="77"/>
      <c r="AR152" s="77"/>
      <c r="AS152" s="77"/>
      <c r="AT152" s="77"/>
      <c r="AU152" s="77"/>
      <c r="AV152" s="77"/>
      <c r="AW152" s="77"/>
      <c r="AX152" s="77"/>
      <c r="AY152" s="77"/>
      <c r="AZ152" s="77"/>
      <c r="BA152" s="77"/>
      <c r="BB152" s="77"/>
      <c r="BC152" s="77"/>
      <c r="BD152" s="77"/>
      <c r="BE152" s="77"/>
      <c r="BF152" s="77"/>
      <c r="BG152" s="77"/>
      <c r="BH152" s="77"/>
    </row>
    <row r="153" spans="1:60" x14ac:dyDescent="0.25">
      <c r="A153" s="77"/>
      <c r="B153" s="77"/>
      <c r="C153" s="77"/>
      <c r="D153" s="77"/>
      <c r="E153" s="77"/>
      <c r="F153" s="77"/>
      <c r="G153" s="77"/>
      <c r="H153" s="77"/>
      <c r="I153" s="77"/>
      <c r="J153" s="77"/>
      <c r="K153" s="77"/>
      <c r="L153" s="77"/>
      <c r="M153" s="77"/>
      <c r="N153" s="77"/>
      <c r="O153" s="77"/>
      <c r="P153" s="77"/>
      <c r="Q153" s="77"/>
      <c r="R153" s="77"/>
      <c r="S153" s="77"/>
      <c r="T153" s="77"/>
      <c r="U153" s="77"/>
      <c r="V153" s="77"/>
      <c r="W153" s="77"/>
      <c r="X153" s="77"/>
      <c r="Y153" s="77"/>
      <c r="Z153" s="77"/>
      <c r="AA153" s="77"/>
      <c r="AB153" s="77"/>
      <c r="AC153" s="77"/>
      <c r="AD153" s="77"/>
      <c r="AE153" s="77"/>
      <c r="AF153" s="77"/>
      <c r="AG153" s="77"/>
      <c r="AH153" s="77"/>
      <c r="AI153" s="77"/>
      <c r="AJ153" s="77"/>
      <c r="AK153" s="77"/>
      <c r="AL153" s="77"/>
      <c r="AM153" s="77"/>
      <c r="AN153" s="77"/>
      <c r="AO153" s="77"/>
      <c r="AP153" s="77"/>
      <c r="AQ153" s="77"/>
      <c r="AR153" s="77"/>
      <c r="AS153" s="77"/>
      <c r="AT153" s="77"/>
      <c r="AU153" s="77"/>
      <c r="AV153" s="77"/>
      <c r="AW153" s="77"/>
      <c r="AX153" s="77"/>
      <c r="AY153" s="77"/>
      <c r="AZ153" s="77"/>
      <c r="BA153" s="77"/>
      <c r="BB153" s="77"/>
      <c r="BC153" s="77"/>
      <c r="BD153" s="77"/>
      <c r="BE153" s="77"/>
      <c r="BF153" s="77"/>
      <c r="BG153" s="77"/>
      <c r="BH153" s="77"/>
    </row>
    <row r="154" spans="1:60" x14ac:dyDescent="0.25">
      <c r="A154" s="77"/>
      <c r="B154" s="77"/>
      <c r="C154" s="77"/>
      <c r="D154" s="77"/>
      <c r="E154" s="77"/>
      <c r="F154" s="77"/>
      <c r="G154" s="77"/>
      <c r="H154" s="77"/>
      <c r="I154" s="77"/>
      <c r="J154" s="77"/>
      <c r="K154" s="77"/>
      <c r="L154" s="77"/>
      <c r="M154" s="77"/>
      <c r="N154" s="77"/>
      <c r="O154" s="77"/>
      <c r="P154" s="77"/>
      <c r="Q154" s="77"/>
      <c r="R154" s="77"/>
      <c r="S154" s="77"/>
      <c r="T154" s="77"/>
      <c r="U154" s="77"/>
      <c r="V154" s="77"/>
      <c r="W154" s="77"/>
      <c r="X154" s="77"/>
      <c r="Y154" s="77"/>
      <c r="Z154" s="77"/>
      <c r="AA154" s="77"/>
      <c r="AB154" s="77"/>
      <c r="AC154" s="77"/>
      <c r="AD154" s="77"/>
      <c r="AE154" s="77"/>
      <c r="AF154" s="77"/>
      <c r="AG154" s="77"/>
      <c r="AH154" s="77"/>
      <c r="AI154" s="77"/>
      <c r="AJ154" s="77"/>
      <c r="AK154" s="77"/>
      <c r="AL154" s="77"/>
      <c r="AM154" s="77"/>
      <c r="AN154" s="77"/>
      <c r="AO154" s="77"/>
      <c r="AP154" s="77"/>
      <c r="AQ154" s="77"/>
      <c r="AR154" s="77"/>
      <c r="AS154" s="77"/>
      <c r="AT154" s="77"/>
      <c r="AU154" s="77"/>
      <c r="AV154" s="77"/>
      <c r="AW154" s="77"/>
      <c r="AX154" s="77"/>
      <c r="AY154" s="77"/>
      <c r="AZ154" s="77"/>
      <c r="BA154" s="77"/>
      <c r="BB154" s="77"/>
      <c r="BC154" s="77"/>
      <c r="BD154" s="77"/>
      <c r="BE154" s="77"/>
      <c r="BF154" s="77"/>
      <c r="BG154" s="77"/>
      <c r="BH154" s="77"/>
    </row>
    <row r="155" spans="1:60" x14ac:dyDescent="0.25">
      <c r="A155" s="77"/>
      <c r="B155" s="77"/>
      <c r="C155" s="77"/>
      <c r="D155" s="77"/>
      <c r="E155" s="77"/>
      <c r="F155" s="77"/>
      <c r="G155" s="77"/>
      <c r="H155" s="77"/>
      <c r="I155" s="77"/>
      <c r="J155" s="77"/>
      <c r="K155" s="77"/>
      <c r="L155" s="77"/>
      <c r="M155" s="77"/>
      <c r="N155" s="77"/>
      <c r="O155" s="77"/>
      <c r="P155" s="77"/>
      <c r="Q155" s="77"/>
      <c r="R155" s="77"/>
      <c r="S155" s="77"/>
      <c r="T155" s="77"/>
      <c r="U155" s="77"/>
      <c r="V155" s="77"/>
      <c r="W155" s="77"/>
      <c r="X155" s="77"/>
      <c r="Y155" s="77"/>
      <c r="Z155" s="77"/>
      <c r="AA155" s="77"/>
      <c r="AB155" s="77"/>
      <c r="AC155" s="77"/>
      <c r="AD155" s="77"/>
      <c r="AE155" s="77"/>
      <c r="AF155" s="77"/>
      <c r="AG155" s="77"/>
      <c r="AH155" s="77"/>
      <c r="AI155" s="77"/>
      <c r="AJ155" s="77"/>
      <c r="AK155" s="77"/>
      <c r="AL155" s="77"/>
      <c r="AM155" s="77"/>
      <c r="AN155" s="77"/>
      <c r="AO155" s="77"/>
      <c r="AP155" s="77"/>
      <c r="AQ155" s="77"/>
      <c r="AR155" s="77"/>
      <c r="AS155" s="77"/>
      <c r="AT155" s="77"/>
      <c r="AU155" s="77"/>
      <c r="AV155" s="77"/>
      <c r="AW155" s="77"/>
      <c r="AX155" s="77"/>
      <c r="AY155" s="77"/>
      <c r="AZ155" s="77"/>
      <c r="BA155" s="77"/>
      <c r="BB155" s="77"/>
      <c r="BC155" s="77"/>
      <c r="BD155" s="77"/>
      <c r="BE155" s="77"/>
      <c r="BF155" s="77"/>
      <c r="BG155" s="77"/>
      <c r="BH155" s="77"/>
    </row>
    <row r="156" spans="1:60" x14ac:dyDescent="0.25">
      <c r="A156" s="77"/>
      <c r="B156" s="77"/>
      <c r="C156" s="77"/>
      <c r="D156" s="77"/>
      <c r="E156" s="77"/>
      <c r="F156" s="77"/>
      <c r="G156" s="77"/>
      <c r="H156" s="77"/>
      <c r="I156" s="77"/>
      <c r="J156" s="77"/>
      <c r="K156" s="77"/>
      <c r="L156" s="77"/>
      <c r="M156" s="77"/>
      <c r="N156" s="77"/>
      <c r="O156" s="77"/>
      <c r="P156" s="77"/>
      <c r="Q156" s="77"/>
      <c r="R156" s="77"/>
      <c r="S156" s="77"/>
      <c r="T156" s="77"/>
      <c r="U156" s="77"/>
      <c r="V156" s="77"/>
      <c r="W156" s="77"/>
      <c r="X156" s="77"/>
      <c r="Y156" s="77"/>
      <c r="Z156" s="77"/>
      <c r="AA156" s="77"/>
      <c r="AB156" s="77"/>
      <c r="AC156" s="77"/>
      <c r="AD156" s="77"/>
      <c r="AE156" s="77"/>
      <c r="AF156" s="77"/>
      <c r="AG156" s="77"/>
      <c r="AH156" s="77"/>
      <c r="AI156" s="77"/>
      <c r="AJ156" s="77"/>
      <c r="AK156" s="77"/>
      <c r="AL156" s="77"/>
      <c r="AM156" s="77"/>
      <c r="AN156" s="77"/>
      <c r="AO156" s="77"/>
      <c r="AP156" s="77"/>
      <c r="AQ156" s="77"/>
      <c r="AR156" s="77"/>
      <c r="AS156" s="77"/>
      <c r="AT156" s="77"/>
      <c r="AU156" s="77"/>
      <c r="AV156" s="77"/>
      <c r="AW156" s="77"/>
      <c r="AX156" s="77"/>
      <c r="AY156" s="77"/>
      <c r="AZ156" s="77"/>
      <c r="BA156" s="77"/>
      <c r="BB156" s="77"/>
      <c r="BC156" s="77"/>
      <c r="BD156" s="77"/>
      <c r="BE156" s="77"/>
      <c r="BF156" s="77"/>
      <c r="BG156" s="77"/>
      <c r="BH156" s="77"/>
    </row>
    <row r="157" spans="1:60" x14ac:dyDescent="0.25">
      <c r="A157" s="77"/>
      <c r="B157" s="77"/>
      <c r="C157" s="77"/>
      <c r="D157" s="77"/>
      <c r="E157" s="77"/>
      <c r="F157" s="77"/>
      <c r="G157" s="77"/>
      <c r="H157" s="77"/>
      <c r="I157" s="77"/>
      <c r="J157" s="77"/>
      <c r="K157" s="77"/>
      <c r="L157" s="77"/>
      <c r="M157" s="77"/>
      <c r="N157" s="77"/>
      <c r="O157" s="77"/>
      <c r="P157" s="77"/>
      <c r="Q157" s="77"/>
      <c r="R157" s="77"/>
      <c r="S157" s="77"/>
      <c r="T157" s="77"/>
      <c r="U157" s="77"/>
      <c r="V157" s="77"/>
      <c r="W157" s="77"/>
      <c r="X157" s="77"/>
      <c r="Y157" s="77"/>
      <c r="Z157" s="77"/>
      <c r="AA157" s="77"/>
      <c r="AB157" s="77"/>
      <c r="AC157" s="77"/>
      <c r="AD157" s="77"/>
      <c r="AE157" s="77"/>
      <c r="AF157" s="77"/>
      <c r="AG157" s="77"/>
      <c r="AH157" s="77"/>
      <c r="AI157" s="77"/>
      <c r="AJ157" s="77"/>
      <c r="AK157" s="77"/>
      <c r="AL157" s="77"/>
      <c r="AM157" s="77"/>
      <c r="AN157" s="77"/>
      <c r="AO157" s="77"/>
      <c r="AP157" s="77"/>
      <c r="AQ157" s="77"/>
      <c r="AR157" s="77"/>
      <c r="AS157" s="77"/>
      <c r="AT157" s="77"/>
      <c r="AU157" s="77"/>
      <c r="AV157" s="77"/>
      <c r="AW157" s="77"/>
      <c r="AX157" s="77"/>
      <c r="AY157" s="77"/>
      <c r="AZ157" s="77"/>
      <c r="BA157" s="77"/>
      <c r="BB157" s="77"/>
      <c r="BC157" s="77"/>
      <c r="BD157" s="77"/>
      <c r="BE157" s="77"/>
      <c r="BF157" s="77"/>
      <c r="BG157" s="77"/>
      <c r="BH157" s="77"/>
    </row>
    <row r="158" spans="1:60" x14ac:dyDescent="0.25">
      <c r="A158" s="77"/>
      <c r="B158" s="77"/>
      <c r="C158" s="77"/>
      <c r="D158" s="77"/>
      <c r="E158" s="77"/>
      <c r="F158" s="77"/>
      <c r="G158" s="77"/>
      <c r="H158" s="77"/>
      <c r="I158" s="77"/>
      <c r="J158" s="77"/>
      <c r="K158" s="77"/>
      <c r="L158" s="77"/>
      <c r="M158" s="77"/>
      <c r="N158" s="77"/>
      <c r="O158" s="77"/>
      <c r="P158" s="77"/>
      <c r="Q158" s="77"/>
      <c r="R158" s="77"/>
      <c r="S158" s="77"/>
      <c r="T158" s="77"/>
      <c r="U158" s="77"/>
      <c r="V158" s="77"/>
      <c r="W158" s="77"/>
      <c r="X158" s="77"/>
      <c r="Y158" s="77"/>
      <c r="Z158" s="77"/>
      <c r="AA158" s="77"/>
      <c r="AB158" s="77"/>
      <c r="AC158" s="77"/>
      <c r="AD158" s="77"/>
      <c r="AE158" s="77"/>
      <c r="AF158" s="77"/>
      <c r="AG158" s="77"/>
      <c r="AH158" s="77"/>
      <c r="AI158" s="77"/>
      <c r="AJ158" s="77"/>
      <c r="AK158" s="77"/>
      <c r="AL158" s="77"/>
      <c r="AM158" s="77"/>
      <c r="AN158" s="77"/>
      <c r="AO158" s="77"/>
      <c r="AP158" s="77"/>
      <c r="AQ158" s="77"/>
      <c r="AR158" s="77"/>
      <c r="AS158" s="77"/>
      <c r="AT158" s="77"/>
      <c r="AU158" s="77"/>
      <c r="AV158" s="77"/>
      <c r="AW158" s="77"/>
      <c r="AX158" s="77"/>
      <c r="AY158" s="77"/>
      <c r="AZ158" s="77"/>
      <c r="BA158" s="77"/>
      <c r="BB158" s="77"/>
      <c r="BC158" s="77"/>
      <c r="BD158" s="77"/>
      <c r="BE158" s="77"/>
      <c r="BF158" s="77"/>
      <c r="BG158" s="77"/>
      <c r="BH158" s="77"/>
    </row>
    <row r="159" spans="1:60" x14ac:dyDescent="0.25">
      <c r="A159" s="77"/>
      <c r="B159" s="77"/>
      <c r="C159" s="77"/>
      <c r="D159" s="77"/>
      <c r="E159" s="77"/>
      <c r="F159" s="77"/>
      <c r="G159" s="77"/>
      <c r="H159" s="77"/>
      <c r="I159" s="77"/>
      <c r="J159" s="77"/>
      <c r="K159" s="77"/>
      <c r="L159" s="77"/>
      <c r="M159" s="77"/>
      <c r="N159" s="77"/>
      <c r="O159" s="77"/>
      <c r="P159" s="77"/>
      <c r="Q159" s="77"/>
      <c r="R159" s="77"/>
      <c r="S159" s="77"/>
      <c r="T159" s="77"/>
      <c r="U159" s="77"/>
      <c r="V159" s="77"/>
      <c r="W159" s="77"/>
      <c r="X159" s="77"/>
      <c r="Y159" s="77"/>
      <c r="Z159" s="77"/>
      <c r="AA159" s="77"/>
      <c r="AB159" s="77"/>
      <c r="AC159" s="77"/>
      <c r="AD159" s="77"/>
      <c r="AE159" s="77"/>
      <c r="AF159" s="77"/>
      <c r="AG159" s="77"/>
      <c r="AH159" s="77"/>
      <c r="AI159" s="77"/>
      <c r="AJ159" s="77"/>
      <c r="AK159" s="77"/>
      <c r="AL159" s="77"/>
      <c r="AM159" s="77"/>
      <c r="AN159" s="77"/>
      <c r="AO159" s="77"/>
      <c r="AP159" s="77"/>
      <c r="AQ159" s="77"/>
      <c r="AR159" s="77"/>
      <c r="AS159" s="77"/>
      <c r="AT159" s="77"/>
      <c r="AU159" s="77"/>
      <c r="AV159" s="77"/>
      <c r="AW159" s="77"/>
      <c r="AX159" s="77"/>
      <c r="AY159" s="77"/>
      <c r="AZ159" s="77"/>
      <c r="BA159" s="77"/>
      <c r="BB159" s="77"/>
      <c r="BC159" s="77"/>
      <c r="BD159" s="77"/>
      <c r="BE159" s="77"/>
      <c r="BF159" s="77"/>
      <c r="BG159" s="77"/>
      <c r="BH159" s="77"/>
    </row>
    <row r="160" spans="1:60" x14ac:dyDescent="0.25">
      <c r="A160" s="77"/>
      <c r="B160" s="77"/>
      <c r="C160" s="77"/>
      <c r="D160" s="77"/>
      <c r="E160" s="77"/>
      <c r="F160" s="77"/>
      <c r="G160" s="77"/>
      <c r="H160" s="77"/>
      <c r="I160" s="77"/>
      <c r="J160" s="77"/>
      <c r="K160" s="77"/>
      <c r="L160" s="77"/>
      <c r="M160" s="77"/>
      <c r="N160" s="77"/>
      <c r="O160" s="77"/>
      <c r="P160" s="77"/>
      <c r="Q160" s="77"/>
      <c r="R160" s="77"/>
      <c r="S160" s="77"/>
      <c r="T160" s="77"/>
      <c r="U160" s="77"/>
      <c r="V160" s="77"/>
      <c r="W160" s="77"/>
      <c r="X160" s="77"/>
      <c r="Y160" s="77"/>
      <c r="Z160" s="77"/>
      <c r="AA160" s="77"/>
      <c r="AB160" s="77"/>
      <c r="AC160" s="77"/>
      <c r="AD160" s="77"/>
      <c r="AE160" s="77"/>
      <c r="AF160" s="77"/>
      <c r="AG160" s="77"/>
      <c r="AH160" s="77"/>
      <c r="AI160" s="77"/>
      <c r="AJ160" s="77"/>
      <c r="AK160" s="77"/>
      <c r="AL160" s="77"/>
      <c r="AM160" s="77"/>
      <c r="AN160" s="77"/>
      <c r="AO160" s="77"/>
      <c r="AP160" s="77"/>
      <c r="AQ160" s="77"/>
      <c r="AR160" s="77"/>
      <c r="AS160" s="77"/>
      <c r="AT160" s="77"/>
      <c r="AU160" s="77"/>
      <c r="AV160" s="77"/>
      <c r="AW160" s="77"/>
      <c r="AX160" s="77"/>
      <c r="AY160" s="77"/>
      <c r="AZ160" s="77"/>
      <c r="BA160" s="77"/>
      <c r="BB160" s="77"/>
      <c r="BC160" s="77"/>
      <c r="BD160" s="77"/>
      <c r="BE160" s="77"/>
      <c r="BF160" s="77"/>
      <c r="BG160" s="77"/>
      <c r="BH160" s="77"/>
    </row>
    <row r="161" spans="1:60" x14ac:dyDescent="0.25">
      <c r="A161" s="77"/>
      <c r="B161" s="77"/>
      <c r="C161" s="77"/>
      <c r="D161" s="77"/>
      <c r="E161" s="77"/>
      <c r="F161" s="77"/>
      <c r="G161" s="77"/>
      <c r="H161" s="77"/>
      <c r="I161" s="77"/>
      <c r="J161" s="77"/>
      <c r="K161" s="77"/>
      <c r="L161" s="77"/>
      <c r="M161" s="77"/>
      <c r="N161" s="77"/>
      <c r="O161" s="77"/>
      <c r="P161" s="77"/>
      <c r="Q161" s="77"/>
      <c r="R161" s="77"/>
      <c r="S161" s="77"/>
      <c r="T161" s="77"/>
      <c r="U161" s="77"/>
      <c r="V161" s="77"/>
      <c r="W161" s="77"/>
      <c r="X161" s="77"/>
      <c r="Y161" s="77"/>
      <c r="Z161" s="77"/>
      <c r="AA161" s="77"/>
      <c r="AB161" s="77"/>
      <c r="AC161" s="77"/>
      <c r="AD161" s="77"/>
      <c r="AE161" s="77"/>
      <c r="AF161" s="77"/>
      <c r="AG161" s="77"/>
      <c r="AH161" s="77"/>
      <c r="AI161" s="77"/>
      <c r="AJ161" s="77"/>
      <c r="AK161" s="77"/>
      <c r="AL161" s="77"/>
      <c r="AM161" s="77"/>
      <c r="AN161" s="77"/>
      <c r="AO161" s="77"/>
      <c r="AP161" s="77"/>
      <c r="AQ161" s="77"/>
      <c r="AR161" s="77"/>
      <c r="AS161" s="77"/>
      <c r="AT161" s="77"/>
      <c r="AU161" s="77"/>
      <c r="AV161" s="77"/>
      <c r="AW161" s="77"/>
      <c r="AX161" s="77"/>
      <c r="AY161" s="77"/>
      <c r="AZ161" s="77"/>
      <c r="BA161" s="77"/>
      <c r="BB161" s="77"/>
      <c r="BC161" s="77"/>
      <c r="BD161" s="77"/>
      <c r="BE161" s="77"/>
      <c r="BF161" s="77"/>
      <c r="BG161" s="77"/>
      <c r="BH161" s="77"/>
    </row>
    <row r="162" spans="1:60" x14ac:dyDescent="0.25">
      <c r="A162" s="77"/>
      <c r="B162" s="77"/>
      <c r="C162" s="77"/>
      <c r="D162" s="77"/>
      <c r="E162" s="77"/>
      <c r="F162" s="77"/>
      <c r="G162" s="77"/>
      <c r="H162" s="77"/>
      <c r="I162" s="77"/>
      <c r="J162" s="77"/>
      <c r="K162" s="77"/>
      <c r="L162" s="77"/>
      <c r="M162" s="77"/>
      <c r="N162" s="77"/>
      <c r="O162" s="77"/>
      <c r="P162" s="77"/>
      <c r="Q162" s="77"/>
      <c r="R162" s="77"/>
      <c r="S162" s="77"/>
      <c r="T162" s="77"/>
      <c r="U162" s="77"/>
      <c r="V162" s="77"/>
      <c r="W162" s="77"/>
      <c r="X162" s="77"/>
      <c r="Y162" s="77"/>
      <c r="Z162" s="77"/>
      <c r="AA162" s="77"/>
      <c r="AB162" s="77"/>
      <c r="AC162" s="77"/>
      <c r="AD162" s="77"/>
      <c r="AE162" s="77"/>
      <c r="AF162" s="77"/>
      <c r="AG162" s="77"/>
      <c r="AH162" s="77"/>
      <c r="AI162" s="77"/>
      <c r="AJ162" s="77"/>
      <c r="AK162" s="77"/>
      <c r="AL162" s="77"/>
      <c r="AM162" s="77"/>
      <c r="AN162" s="77"/>
      <c r="AO162" s="77"/>
      <c r="AP162" s="77"/>
      <c r="AQ162" s="77"/>
      <c r="AR162" s="77"/>
      <c r="AS162" s="77"/>
      <c r="AT162" s="77"/>
      <c r="AU162" s="77"/>
      <c r="AV162" s="77"/>
      <c r="AW162" s="77"/>
      <c r="AX162" s="77"/>
      <c r="AY162" s="77"/>
      <c r="AZ162" s="77"/>
      <c r="BA162" s="77"/>
      <c r="BB162" s="77"/>
      <c r="BC162" s="77"/>
      <c r="BD162" s="77"/>
      <c r="BE162" s="77"/>
      <c r="BF162" s="77"/>
      <c r="BG162" s="77"/>
      <c r="BH162" s="77"/>
    </row>
    <row r="163" spans="1:60" x14ac:dyDescent="0.25">
      <c r="A163" s="77"/>
      <c r="B163" s="77"/>
      <c r="C163" s="77"/>
      <c r="D163" s="77"/>
      <c r="E163" s="77"/>
      <c r="F163" s="77"/>
      <c r="G163" s="77"/>
      <c r="H163" s="77"/>
      <c r="I163" s="77"/>
      <c r="J163" s="77"/>
      <c r="K163" s="77"/>
      <c r="L163" s="77"/>
      <c r="M163" s="77"/>
      <c r="N163" s="77"/>
      <c r="O163" s="77"/>
      <c r="P163" s="77"/>
      <c r="Q163" s="77"/>
      <c r="R163" s="77"/>
      <c r="S163" s="77"/>
      <c r="T163" s="77"/>
      <c r="U163" s="77"/>
      <c r="V163" s="77"/>
      <c r="W163" s="77"/>
      <c r="X163" s="77"/>
      <c r="Y163" s="77"/>
      <c r="Z163" s="77"/>
      <c r="AA163" s="77"/>
      <c r="AB163" s="77"/>
      <c r="AC163" s="77"/>
      <c r="AD163" s="77"/>
      <c r="AE163" s="77"/>
      <c r="AF163" s="77"/>
      <c r="AG163" s="77"/>
      <c r="AH163" s="77"/>
      <c r="AI163" s="77"/>
      <c r="AJ163" s="77"/>
      <c r="AK163" s="77"/>
      <c r="AL163" s="77"/>
      <c r="AM163" s="77"/>
      <c r="AN163" s="77"/>
      <c r="AO163" s="77"/>
      <c r="AP163" s="77"/>
      <c r="AQ163" s="77"/>
      <c r="AR163" s="77"/>
      <c r="AS163" s="77"/>
      <c r="AT163" s="77"/>
      <c r="AU163" s="77"/>
      <c r="AV163" s="77"/>
      <c r="AW163" s="77"/>
      <c r="AX163" s="77"/>
      <c r="AY163" s="77"/>
      <c r="AZ163" s="77"/>
      <c r="BA163" s="77"/>
      <c r="BB163" s="77"/>
      <c r="BC163" s="77"/>
      <c r="BD163" s="77"/>
      <c r="BE163" s="77"/>
      <c r="BF163" s="77"/>
      <c r="BG163" s="77"/>
      <c r="BH163" s="77"/>
    </row>
    <row r="164" spans="1:60" x14ac:dyDescent="0.25">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c r="AN164" s="77"/>
      <c r="AO164" s="77"/>
      <c r="AP164" s="77"/>
      <c r="AQ164" s="77"/>
      <c r="AR164" s="77"/>
      <c r="AS164" s="77"/>
      <c r="AT164" s="77"/>
      <c r="AU164" s="77"/>
      <c r="AV164" s="77"/>
      <c r="AW164" s="77"/>
      <c r="AX164" s="77"/>
      <c r="AY164" s="77"/>
      <c r="AZ164" s="77"/>
      <c r="BA164" s="77"/>
      <c r="BB164" s="77"/>
      <c r="BC164" s="77"/>
      <c r="BD164" s="77"/>
      <c r="BE164" s="77"/>
      <c r="BF164" s="77"/>
      <c r="BG164" s="77"/>
      <c r="BH164" s="77"/>
    </row>
    <row r="165" spans="1:60" x14ac:dyDescent="0.25">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c r="AN165" s="77"/>
      <c r="AO165" s="77"/>
      <c r="AP165" s="77"/>
      <c r="AQ165" s="77"/>
      <c r="AR165" s="77"/>
      <c r="AS165" s="77"/>
      <c r="AT165" s="77"/>
      <c r="AU165" s="77"/>
      <c r="AV165" s="77"/>
      <c r="AW165" s="77"/>
      <c r="AX165" s="77"/>
      <c r="AY165" s="77"/>
      <c r="AZ165" s="77"/>
      <c r="BA165" s="77"/>
      <c r="BB165" s="77"/>
      <c r="BC165" s="77"/>
      <c r="BD165" s="77"/>
      <c r="BE165" s="77"/>
      <c r="BF165" s="77"/>
      <c r="BG165" s="77"/>
      <c r="BH165" s="77"/>
    </row>
    <row r="166" spans="1:60" x14ac:dyDescent="0.25">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c r="AG166" s="77"/>
      <c r="AH166" s="77"/>
      <c r="AI166" s="77"/>
      <c r="AJ166" s="77"/>
      <c r="AK166" s="77"/>
      <c r="AL166" s="77"/>
      <c r="AM166" s="77"/>
      <c r="AN166" s="77"/>
      <c r="AO166" s="77"/>
      <c r="AP166" s="77"/>
      <c r="AQ166" s="77"/>
      <c r="AR166" s="77"/>
      <c r="AS166" s="77"/>
      <c r="AT166" s="77"/>
      <c r="AU166" s="77"/>
      <c r="AV166" s="77"/>
      <c r="AW166" s="77"/>
      <c r="AX166" s="77"/>
      <c r="AY166" s="77"/>
      <c r="AZ166" s="77"/>
      <c r="BA166" s="77"/>
      <c r="BB166" s="77"/>
      <c r="BC166" s="77"/>
      <c r="BD166" s="77"/>
      <c r="BE166" s="77"/>
      <c r="BF166" s="77"/>
      <c r="BG166" s="77"/>
      <c r="BH166" s="77"/>
    </row>
    <row r="167" spans="1:60" x14ac:dyDescent="0.25">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7"/>
      <c r="AN167" s="77"/>
      <c r="AO167" s="77"/>
      <c r="AP167" s="77"/>
      <c r="AQ167" s="77"/>
      <c r="AR167" s="77"/>
      <c r="AS167" s="77"/>
      <c r="AT167" s="77"/>
      <c r="AU167" s="77"/>
      <c r="AV167" s="77"/>
      <c r="AW167" s="77"/>
      <c r="AX167" s="77"/>
      <c r="AY167" s="77"/>
      <c r="AZ167" s="77"/>
      <c r="BA167" s="77"/>
      <c r="BB167" s="77"/>
      <c r="BC167" s="77"/>
      <c r="BD167" s="77"/>
      <c r="BE167" s="77"/>
      <c r="BF167" s="77"/>
      <c r="BG167" s="77"/>
      <c r="BH167" s="77"/>
    </row>
    <row r="168" spans="1:60" x14ac:dyDescent="0.25">
      <c r="A168" s="77"/>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7"/>
      <c r="AL168" s="77"/>
      <c r="AM168" s="77"/>
      <c r="AN168" s="77"/>
      <c r="AO168" s="77"/>
      <c r="AP168" s="77"/>
      <c r="AQ168" s="77"/>
      <c r="AR168" s="77"/>
      <c r="AS168" s="77"/>
      <c r="AT168" s="77"/>
      <c r="AU168" s="77"/>
      <c r="AV168" s="77"/>
      <c r="AW168" s="77"/>
      <c r="AX168" s="77"/>
      <c r="AY168" s="77"/>
      <c r="AZ168" s="77"/>
      <c r="BA168" s="77"/>
      <c r="BB168" s="77"/>
      <c r="BC168" s="77"/>
      <c r="BD168" s="77"/>
      <c r="BE168" s="77"/>
      <c r="BF168" s="77"/>
      <c r="BG168" s="77"/>
      <c r="BH168" s="77"/>
    </row>
    <row r="169" spans="1:60" x14ac:dyDescent="0.25">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c r="AN169" s="77"/>
      <c r="AO169" s="77"/>
      <c r="AP169" s="77"/>
      <c r="AQ169" s="77"/>
      <c r="AR169" s="77"/>
      <c r="AS169" s="77"/>
      <c r="AT169" s="77"/>
      <c r="AU169" s="77"/>
      <c r="AV169" s="77"/>
      <c r="AW169" s="77"/>
      <c r="AX169" s="77"/>
      <c r="AY169" s="77"/>
      <c r="AZ169" s="77"/>
      <c r="BA169" s="77"/>
      <c r="BB169" s="77"/>
      <c r="BC169" s="77"/>
      <c r="BD169" s="77"/>
      <c r="BE169" s="77"/>
      <c r="BF169" s="77"/>
      <c r="BG169" s="77"/>
      <c r="BH169" s="77"/>
    </row>
    <row r="170" spans="1:60" x14ac:dyDescent="0.25">
      <c r="A170" s="77"/>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c r="AG170" s="77"/>
      <c r="AH170" s="77"/>
      <c r="AI170" s="77"/>
      <c r="AJ170" s="77"/>
      <c r="AK170" s="77"/>
      <c r="AL170" s="77"/>
      <c r="AM170" s="77"/>
      <c r="AN170" s="77"/>
      <c r="AO170" s="77"/>
      <c r="AP170" s="77"/>
      <c r="AQ170" s="77"/>
      <c r="AR170" s="77"/>
      <c r="AS170" s="77"/>
      <c r="AT170" s="77"/>
      <c r="AU170" s="77"/>
      <c r="AV170" s="77"/>
      <c r="AW170" s="77"/>
      <c r="AX170" s="77"/>
      <c r="AY170" s="77"/>
      <c r="AZ170" s="77"/>
      <c r="BA170" s="77"/>
      <c r="BB170" s="77"/>
      <c r="BC170" s="77"/>
      <c r="BD170" s="77"/>
      <c r="BE170" s="77"/>
      <c r="BF170" s="77"/>
      <c r="BG170" s="77"/>
      <c r="BH170" s="77"/>
    </row>
    <row r="171" spans="1:60" x14ac:dyDescent="0.25">
      <c r="A171" s="77"/>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c r="AG171" s="77"/>
      <c r="AH171" s="77"/>
      <c r="AI171" s="77"/>
      <c r="AJ171" s="77"/>
      <c r="AK171" s="77"/>
      <c r="AL171" s="77"/>
      <c r="AM171" s="77"/>
      <c r="AN171" s="77"/>
      <c r="AO171" s="77"/>
      <c r="AP171" s="77"/>
      <c r="AQ171" s="77"/>
      <c r="AR171" s="77"/>
      <c r="AS171" s="77"/>
      <c r="AT171" s="77"/>
      <c r="AU171" s="77"/>
      <c r="AV171" s="77"/>
      <c r="AW171" s="77"/>
      <c r="AX171" s="77"/>
      <c r="AY171" s="77"/>
      <c r="AZ171" s="77"/>
      <c r="BA171" s="77"/>
      <c r="BB171" s="77"/>
      <c r="BC171" s="77"/>
      <c r="BD171" s="77"/>
      <c r="BE171" s="77"/>
      <c r="BF171" s="77"/>
      <c r="BG171" s="77"/>
      <c r="BH171" s="77"/>
    </row>
    <row r="172" spans="1:60" x14ac:dyDescent="0.25">
      <c r="A172" s="77"/>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c r="AG172" s="77"/>
      <c r="AH172" s="77"/>
      <c r="AI172" s="77"/>
      <c r="AJ172" s="77"/>
      <c r="AK172" s="77"/>
      <c r="AL172" s="77"/>
      <c r="AM172" s="77"/>
      <c r="AN172" s="77"/>
      <c r="AO172" s="77"/>
      <c r="AP172" s="77"/>
      <c r="AQ172" s="77"/>
      <c r="AR172" s="77"/>
      <c r="AS172" s="77"/>
      <c r="AT172" s="77"/>
      <c r="AU172" s="77"/>
      <c r="AV172" s="77"/>
      <c r="AW172" s="77"/>
      <c r="AX172" s="77"/>
      <c r="AY172" s="77"/>
      <c r="AZ172" s="77"/>
      <c r="BA172" s="77"/>
      <c r="BB172" s="77"/>
      <c r="BC172" s="77"/>
      <c r="BD172" s="77"/>
      <c r="BE172" s="77"/>
      <c r="BF172" s="77"/>
      <c r="BG172" s="77"/>
      <c r="BH172" s="77"/>
    </row>
    <row r="173" spans="1:60" x14ac:dyDescent="0.25">
      <c r="A173" s="77"/>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c r="AK173" s="77"/>
      <c r="AL173" s="77"/>
      <c r="AM173" s="77"/>
      <c r="AN173" s="77"/>
      <c r="AO173" s="77"/>
      <c r="AP173" s="77"/>
      <c r="AQ173" s="77"/>
      <c r="AR173" s="77"/>
      <c r="AS173" s="77"/>
      <c r="AT173" s="77"/>
      <c r="AU173" s="77"/>
      <c r="AV173" s="77"/>
      <c r="AW173" s="77"/>
      <c r="AX173" s="77"/>
      <c r="AY173" s="77"/>
      <c r="AZ173" s="77"/>
      <c r="BA173" s="77"/>
      <c r="BB173" s="77"/>
      <c r="BC173" s="77"/>
      <c r="BD173" s="77"/>
      <c r="BE173" s="77"/>
      <c r="BF173" s="77"/>
      <c r="BG173" s="77"/>
      <c r="BH173" s="77"/>
    </row>
    <row r="174" spans="1:60" x14ac:dyDescent="0.25">
      <c r="A174" s="77"/>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G174" s="77"/>
      <c r="AH174" s="77"/>
      <c r="AI174" s="77"/>
      <c r="AJ174" s="77"/>
      <c r="AK174" s="77"/>
      <c r="AL174" s="77"/>
      <c r="AM174" s="77"/>
      <c r="AN174" s="77"/>
      <c r="AO174" s="77"/>
      <c r="AP174" s="77"/>
      <c r="AQ174" s="77"/>
      <c r="AR174" s="77"/>
      <c r="AS174" s="77"/>
      <c r="AT174" s="77"/>
      <c r="AU174" s="77"/>
      <c r="AV174" s="77"/>
      <c r="AW174" s="77"/>
      <c r="AX174" s="77"/>
      <c r="AY174" s="77"/>
      <c r="AZ174" s="77"/>
      <c r="BA174" s="77"/>
      <c r="BB174" s="77"/>
      <c r="BC174" s="77"/>
      <c r="BD174" s="77"/>
      <c r="BE174" s="77"/>
      <c r="BF174" s="77"/>
      <c r="BG174" s="77"/>
      <c r="BH174" s="77"/>
    </row>
    <row r="175" spans="1:60" x14ac:dyDescent="0.25">
      <c r="A175" s="77"/>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77"/>
      <c r="AL175" s="77"/>
      <c r="AM175" s="77"/>
      <c r="AN175" s="77"/>
      <c r="AO175" s="77"/>
      <c r="AP175" s="77"/>
      <c r="AQ175" s="77"/>
      <c r="AR175" s="77"/>
      <c r="AS175" s="77"/>
      <c r="AT175" s="77"/>
      <c r="AU175" s="77"/>
      <c r="AV175" s="77"/>
      <c r="AW175" s="77"/>
      <c r="AX175" s="77"/>
      <c r="AY175" s="77"/>
      <c r="AZ175" s="77"/>
      <c r="BA175" s="77"/>
      <c r="BB175" s="77"/>
      <c r="BC175" s="77"/>
      <c r="BD175" s="77"/>
      <c r="BE175" s="77"/>
      <c r="BF175" s="77"/>
      <c r="BG175" s="77"/>
      <c r="BH175" s="77"/>
    </row>
    <row r="176" spans="1:60" x14ac:dyDescent="0.25">
      <c r="A176" s="77"/>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c r="AG176" s="77"/>
      <c r="AH176" s="77"/>
      <c r="AI176" s="77"/>
      <c r="AJ176" s="77"/>
      <c r="AK176" s="77"/>
      <c r="AL176" s="77"/>
      <c r="AM176" s="77"/>
      <c r="AN176" s="77"/>
      <c r="AO176" s="77"/>
      <c r="AP176" s="77"/>
      <c r="AQ176" s="77"/>
      <c r="AR176" s="77"/>
      <c r="AS176" s="77"/>
      <c r="AT176" s="77"/>
      <c r="AU176" s="77"/>
      <c r="AV176" s="77"/>
      <c r="AW176" s="77"/>
      <c r="AX176" s="77"/>
      <c r="AY176" s="77"/>
      <c r="AZ176" s="77"/>
      <c r="BA176" s="77"/>
      <c r="BB176" s="77"/>
      <c r="BC176" s="77"/>
      <c r="BD176" s="77"/>
      <c r="BE176" s="77"/>
      <c r="BF176" s="77"/>
      <c r="BG176" s="77"/>
      <c r="BH176" s="77"/>
    </row>
    <row r="177" spans="1:60" x14ac:dyDescent="0.25">
      <c r="A177" s="77"/>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c r="AG177" s="77"/>
      <c r="AH177" s="77"/>
      <c r="AI177" s="77"/>
      <c r="AJ177" s="77"/>
      <c r="AK177" s="77"/>
      <c r="AL177" s="77"/>
      <c r="AM177" s="77"/>
      <c r="AN177" s="77"/>
      <c r="AO177" s="77"/>
      <c r="AP177" s="77"/>
      <c r="AQ177" s="77"/>
      <c r="AR177" s="77"/>
      <c r="AS177" s="77"/>
      <c r="AT177" s="77"/>
      <c r="AU177" s="77"/>
      <c r="AV177" s="77"/>
      <c r="AW177" s="77"/>
      <c r="AX177" s="77"/>
      <c r="AY177" s="77"/>
      <c r="AZ177" s="77"/>
      <c r="BA177" s="77"/>
      <c r="BB177" s="77"/>
      <c r="BC177" s="77"/>
      <c r="BD177" s="77"/>
      <c r="BE177" s="77"/>
      <c r="BF177" s="77"/>
      <c r="BG177" s="77"/>
      <c r="BH177" s="77"/>
    </row>
    <row r="178" spans="1:60" x14ac:dyDescent="0.25">
      <c r="A178" s="77"/>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c r="AG178" s="77"/>
      <c r="AH178" s="77"/>
      <c r="AI178" s="77"/>
      <c r="AJ178" s="77"/>
      <c r="AK178" s="77"/>
      <c r="AL178" s="77"/>
      <c r="AM178" s="77"/>
      <c r="AN178" s="77"/>
      <c r="AO178" s="77"/>
      <c r="AP178" s="77"/>
      <c r="AQ178" s="77"/>
      <c r="AR178" s="77"/>
      <c r="AS178" s="77"/>
      <c r="AT178" s="77"/>
      <c r="AU178" s="77"/>
      <c r="AV178" s="77"/>
      <c r="AW178" s="77"/>
      <c r="AX178" s="77"/>
      <c r="AY178" s="77"/>
      <c r="AZ178" s="77"/>
      <c r="BA178" s="77"/>
      <c r="BB178" s="77"/>
      <c r="BC178" s="77"/>
      <c r="BD178" s="77"/>
      <c r="BE178" s="77"/>
      <c r="BF178" s="77"/>
      <c r="BG178" s="77"/>
      <c r="BH178" s="77"/>
    </row>
    <row r="179" spans="1:60" x14ac:dyDescent="0.25">
      <c r="A179" s="77"/>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c r="AG179" s="77"/>
      <c r="AH179" s="77"/>
      <c r="AI179" s="77"/>
      <c r="AJ179" s="77"/>
      <c r="AK179" s="77"/>
      <c r="AL179" s="77"/>
      <c r="AM179" s="77"/>
      <c r="AN179" s="77"/>
      <c r="AO179" s="77"/>
      <c r="AP179" s="77"/>
      <c r="AQ179" s="77"/>
      <c r="AR179" s="77"/>
      <c r="AS179" s="77"/>
      <c r="AT179" s="77"/>
      <c r="AU179" s="77"/>
      <c r="AV179" s="77"/>
      <c r="AW179" s="77"/>
      <c r="AX179" s="77"/>
      <c r="AY179" s="77"/>
      <c r="AZ179" s="77"/>
      <c r="BA179" s="77"/>
      <c r="BB179" s="77"/>
      <c r="BC179" s="77"/>
      <c r="BD179" s="77"/>
      <c r="BE179" s="77"/>
      <c r="BF179" s="77"/>
      <c r="BG179" s="77"/>
      <c r="BH179" s="77"/>
    </row>
    <row r="180" spans="1:60" x14ac:dyDescent="0.25">
      <c r="A180" s="77"/>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7"/>
      <c r="AI180" s="77"/>
      <c r="AJ180" s="77"/>
      <c r="AK180" s="77"/>
      <c r="AL180" s="77"/>
      <c r="AM180" s="77"/>
      <c r="AN180" s="77"/>
      <c r="AO180" s="77"/>
      <c r="AP180" s="77"/>
      <c r="AQ180" s="77"/>
      <c r="AR180" s="77"/>
      <c r="AS180" s="77"/>
      <c r="AT180" s="77"/>
      <c r="AU180" s="77"/>
      <c r="AV180" s="77"/>
      <c r="AW180" s="77"/>
      <c r="AX180" s="77"/>
      <c r="AY180" s="77"/>
      <c r="AZ180" s="77"/>
      <c r="BA180" s="77"/>
      <c r="BB180" s="77"/>
      <c r="BC180" s="77"/>
      <c r="BD180" s="77"/>
      <c r="BE180" s="77"/>
      <c r="BF180" s="77"/>
      <c r="BG180" s="77"/>
      <c r="BH180" s="77"/>
    </row>
    <row r="181" spans="1:60" x14ac:dyDescent="0.25">
      <c r="A181" s="77"/>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c r="AG181" s="77"/>
      <c r="AH181" s="77"/>
      <c r="AI181" s="77"/>
      <c r="AJ181" s="77"/>
      <c r="AK181" s="77"/>
      <c r="AL181" s="77"/>
      <c r="AM181" s="77"/>
      <c r="AN181" s="77"/>
      <c r="AO181" s="77"/>
      <c r="AP181" s="77"/>
      <c r="AQ181" s="77"/>
      <c r="AR181" s="77"/>
      <c r="AS181" s="77"/>
      <c r="AT181" s="77"/>
      <c r="AU181" s="77"/>
      <c r="AV181" s="77"/>
      <c r="AW181" s="77"/>
      <c r="AX181" s="77"/>
      <c r="AY181" s="77"/>
      <c r="AZ181" s="77"/>
      <c r="BA181" s="77"/>
      <c r="BB181" s="77"/>
      <c r="BC181" s="77"/>
      <c r="BD181" s="77"/>
      <c r="BE181" s="77"/>
      <c r="BF181" s="77"/>
      <c r="BG181" s="77"/>
      <c r="BH181" s="77"/>
    </row>
    <row r="182" spans="1:60" x14ac:dyDescent="0.25">
      <c r="A182" s="77"/>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c r="AK182" s="77"/>
      <c r="AL182" s="77"/>
      <c r="AM182" s="77"/>
      <c r="AN182" s="77"/>
      <c r="AO182" s="77"/>
      <c r="AP182" s="77"/>
      <c r="AQ182" s="77"/>
      <c r="AR182" s="77"/>
      <c r="AS182" s="77"/>
      <c r="AT182" s="77"/>
      <c r="AU182" s="77"/>
      <c r="AV182" s="77"/>
      <c r="AW182" s="77"/>
      <c r="AX182" s="77"/>
      <c r="AY182" s="77"/>
      <c r="AZ182" s="77"/>
      <c r="BA182" s="77"/>
      <c r="BB182" s="77"/>
      <c r="BC182" s="77"/>
      <c r="BD182" s="77"/>
      <c r="BE182" s="77"/>
      <c r="BF182" s="77"/>
      <c r="BG182" s="77"/>
      <c r="BH182" s="77"/>
    </row>
    <row r="183" spans="1:60" x14ac:dyDescent="0.25">
      <c r="A183" s="77"/>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c r="AG183" s="77"/>
      <c r="AH183" s="77"/>
      <c r="AI183" s="77"/>
      <c r="AJ183" s="77"/>
      <c r="AK183" s="77"/>
      <c r="AL183" s="77"/>
      <c r="AM183" s="77"/>
      <c r="AN183" s="77"/>
      <c r="AO183" s="77"/>
      <c r="AP183" s="77"/>
      <c r="AQ183" s="77"/>
      <c r="AR183" s="77"/>
      <c r="AS183" s="77"/>
      <c r="AT183" s="77"/>
      <c r="AU183" s="77"/>
      <c r="AV183" s="77"/>
      <c r="AW183" s="77"/>
      <c r="AX183" s="77"/>
      <c r="AY183" s="77"/>
      <c r="AZ183" s="77"/>
      <c r="BA183" s="77"/>
      <c r="BB183" s="77"/>
      <c r="BC183" s="77"/>
      <c r="BD183" s="77"/>
      <c r="BE183" s="77"/>
      <c r="BF183" s="77"/>
      <c r="BG183" s="77"/>
      <c r="BH183" s="77"/>
    </row>
    <row r="184" spans="1:60" x14ac:dyDescent="0.25">
      <c r="A184" s="77"/>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c r="AG184" s="77"/>
      <c r="AH184" s="77"/>
      <c r="AI184" s="77"/>
      <c r="AJ184" s="77"/>
      <c r="AK184" s="77"/>
      <c r="AL184" s="77"/>
      <c r="AM184" s="77"/>
      <c r="AN184" s="77"/>
      <c r="AO184" s="77"/>
      <c r="AP184" s="77"/>
      <c r="AQ184" s="77"/>
      <c r="AR184" s="77"/>
      <c r="AS184" s="77"/>
      <c r="AT184" s="77"/>
      <c r="AU184" s="77"/>
      <c r="AV184" s="77"/>
      <c r="AW184" s="77"/>
      <c r="AX184" s="77"/>
      <c r="AY184" s="77"/>
      <c r="AZ184" s="77"/>
      <c r="BA184" s="77"/>
      <c r="BB184" s="77"/>
      <c r="BC184" s="77"/>
      <c r="BD184" s="77"/>
      <c r="BE184" s="77"/>
      <c r="BF184" s="77"/>
      <c r="BG184" s="77"/>
      <c r="BH184" s="77"/>
    </row>
    <row r="185" spans="1:60" x14ac:dyDescent="0.25">
      <c r="A185" s="77"/>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c r="AK185" s="77"/>
      <c r="AL185" s="77"/>
      <c r="AM185" s="77"/>
      <c r="AN185" s="77"/>
      <c r="AO185" s="77"/>
      <c r="AP185" s="77"/>
      <c r="AQ185" s="77"/>
      <c r="AR185" s="77"/>
      <c r="AS185" s="77"/>
      <c r="AT185" s="77"/>
      <c r="AU185" s="77"/>
      <c r="AV185" s="77"/>
      <c r="AW185" s="77"/>
      <c r="AX185" s="77"/>
      <c r="AY185" s="77"/>
      <c r="AZ185" s="77"/>
      <c r="BA185" s="77"/>
      <c r="BB185" s="77"/>
      <c r="BC185" s="77"/>
      <c r="BD185" s="77"/>
      <c r="BE185" s="77"/>
      <c r="BF185" s="77"/>
      <c r="BG185" s="77"/>
      <c r="BH185" s="77"/>
    </row>
    <row r="186" spans="1:60" x14ac:dyDescent="0.25">
      <c r="A186" s="77"/>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c r="AG186" s="77"/>
      <c r="AH186" s="77"/>
      <c r="AI186" s="77"/>
      <c r="AJ186" s="77"/>
      <c r="AK186" s="77"/>
      <c r="AL186" s="77"/>
      <c r="AM186" s="77"/>
      <c r="AN186" s="77"/>
      <c r="AO186" s="77"/>
      <c r="AP186" s="77"/>
      <c r="AQ186" s="77"/>
      <c r="AR186" s="77"/>
      <c r="AS186" s="77"/>
      <c r="AT186" s="77"/>
      <c r="AU186" s="77"/>
      <c r="AV186" s="77"/>
      <c r="AW186" s="77"/>
      <c r="AX186" s="77"/>
      <c r="AY186" s="77"/>
      <c r="AZ186" s="77"/>
      <c r="BA186" s="77"/>
      <c r="BB186" s="77"/>
      <c r="BC186" s="77"/>
      <c r="BD186" s="77"/>
      <c r="BE186" s="77"/>
      <c r="BF186" s="77"/>
      <c r="BG186" s="77"/>
      <c r="BH186" s="77"/>
    </row>
    <row r="187" spans="1:60" x14ac:dyDescent="0.25">
      <c r="A187" s="77"/>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c r="AG187" s="77"/>
      <c r="AH187" s="77"/>
      <c r="AI187" s="77"/>
      <c r="AJ187" s="77"/>
      <c r="AK187" s="77"/>
      <c r="AL187" s="77"/>
      <c r="AM187" s="77"/>
      <c r="AN187" s="77"/>
      <c r="AO187" s="77"/>
      <c r="AP187" s="77"/>
      <c r="AQ187" s="77"/>
      <c r="AR187" s="77"/>
      <c r="AS187" s="77"/>
      <c r="AT187" s="77"/>
      <c r="AU187" s="77"/>
      <c r="AV187" s="77"/>
      <c r="AW187" s="77"/>
      <c r="AX187" s="77"/>
      <c r="AY187" s="77"/>
      <c r="AZ187" s="77"/>
      <c r="BA187" s="77"/>
      <c r="BB187" s="77"/>
      <c r="BC187" s="77"/>
      <c r="BD187" s="77"/>
      <c r="BE187" s="77"/>
      <c r="BF187" s="77"/>
      <c r="BG187" s="77"/>
      <c r="BH187" s="77"/>
    </row>
    <row r="188" spans="1:60" x14ac:dyDescent="0.25">
      <c r="A188" s="77"/>
      <c r="B188" s="77"/>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77"/>
      <c r="AL188" s="77"/>
      <c r="AM188" s="77"/>
      <c r="AN188" s="77"/>
      <c r="AO188" s="77"/>
      <c r="AP188" s="77"/>
      <c r="AQ188" s="77"/>
      <c r="AR188" s="77"/>
      <c r="AS188" s="77"/>
      <c r="AT188" s="77"/>
      <c r="AU188" s="77"/>
      <c r="AV188" s="77"/>
      <c r="AW188" s="77"/>
      <c r="AX188" s="77"/>
      <c r="AY188" s="77"/>
      <c r="AZ188" s="77"/>
      <c r="BA188" s="77"/>
      <c r="BB188" s="77"/>
      <c r="BC188" s="77"/>
      <c r="BD188" s="77"/>
      <c r="BE188" s="77"/>
      <c r="BF188" s="77"/>
      <c r="BG188" s="77"/>
      <c r="BH188" s="77"/>
    </row>
    <row r="189" spans="1:60" x14ac:dyDescent="0.25">
      <c r="A189" s="77"/>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row>
    <row r="190" spans="1:60" x14ac:dyDescent="0.25">
      <c r="A190" s="77"/>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c r="AG190" s="77"/>
      <c r="AH190" s="77"/>
      <c r="AI190" s="77"/>
      <c r="AJ190" s="77"/>
      <c r="AK190" s="77"/>
      <c r="AL190" s="77"/>
      <c r="AM190" s="77"/>
      <c r="AN190" s="77"/>
      <c r="AO190" s="77"/>
      <c r="AP190" s="77"/>
      <c r="AQ190" s="77"/>
      <c r="AR190" s="77"/>
      <c r="AS190" s="77"/>
      <c r="AT190" s="77"/>
      <c r="AU190" s="77"/>
      <c r="AV190" s="77"/>
      <c r="AW190" s="77"/>
      <c r="AX190" s="77"/>
      <c r="AY190" s="77"/>
      <c r="AZ190" s="77"/>
      <c r="BA190" s="77"/>
      <c r="BB190" s="77"/>
      <c r="BC190" s="77"/>
      <c r="BD190" s="77"/>
      <c r="BE190" s="77"/>
      <c r="BF190" s="77"/>
      <c r="BG190" s="77"/>
      <c r="BH190" s="77"/>
    </row>
    <row r="191" spans="1:60" x14ac:dyDescent="0.25">
      <c r="A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c r="AI191" s="77"/>
      <c r="AJ191" s="77"/>
      <c r="AK191" s="77"/>
      <c r="AL191" s="77"/>
      <c r="AM191" s="77"/>
      <c r="AN191" s="77"/>
      <c r="AO191" s="77"/>
      <c r="AP191" s="77"/>
      <c r="AQ191" s="77"/>
      <c r="AR191" s="77"/>
      <c r="AS191" s="77"/>
      <c r="AT191" s="77"/>
      <c r="AU191" s="77"/>
      <c r="AV191" s="77"/>
      <c r="AW191" s="77"/>
      <c r="AX191" s="77"/>
      <c r="AY191" s="77"/>
      <c r="AZ191" s="77"/>
      <c r="BA191" s="77"/>
      <c r="BB191" s="77"/>
      <c r="BC191" s="77"/>
      <c r="BD191" s="77"/>
      <c r="BE191" s="77"/>
      <c r="BF191" s="77"/>
      <c r="BG191" s="77"/>
      <c r="BH191" s="77"/>
    </row>
    <row r="192" spans="1:60" x14ac:dyDescent="0.25">
      <c r="A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c r="AG192" s="77"/>
      <c r="AH192" s="77"/>
      <c r="AI192" s="77"/>
      <c r="AJ192" s="77"/>
      <c r="AK192" s="77"/>
      <c r="AL192" s="77"/>
      <c r="AM192" s="77"/>
      <c r="AN192" s="77"/>
      <c r="AO192" s="77"/>
      <c r="AP192" s="77"/>
      <c r="AQ192" s="77"/>
      <c r="AR192" s="77"/>
      <c r="AS192" s="77"/>
      <c r="AT192" s="77"/>
      <c r="AU192" s="77"/>
      <c r="AV192" s="77"/>
      <c r="AW192" s="77"/>
      <c r="AX192" s="77"/>
      <c r="AY192" s="77"/>
      <c r="AZ192" s="77"/>
      <c r="BA192" s="77"/>
      <c r="BB192" s="77"/>
      <c r="BC192" s="77"/>
      <c r="BD192" s="77"/>
      <c r="BE192" s="77"/>
      <c r="BF192" s="77"/>
      <c r="BG192" s="77"/>
      <c r="BH192" s="77"/>
    </row>
    <row r="193" spans="1:60" x14ac:dyDescent="0.25">
      <c r="A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c r="AG193" s="77"/>
      <c r="AH193" s="77"/>
      <c r="AI193" s="77"/>
      <c r="AJ193" s="77"/>
      <c r="AK193" s="77"/>
      <c r="AL193" s="77"/>
      <c r="AM193" s="77"/>
      <c r="AN193" s="77"/>
      <c r="AO193" s="77"/>
      <c r="AP193" s="77"/>
      <c r="AQ193" s="77"/>
      <c r="AR193" s="77"/>
      <c r="AS193" s="77"/>
      <c r="AT193" s="77"/>
      <c r="AU193" s="77"/>
      <c r="AV193" s="77"/>
      <c r="AW193" s="77"/>
      <c r="AX193" s="77"/>
      <c r="AY193" s="77"/>
      <c r="AZ193" s="77"/>
      <c r="BA193" s="77"/>
      <c r="BB193" s="77"/>
      <c r="BC193" s="77"/>
      <c r="BD193" s="77"/>
      <c r="BE193" s="77"/>
      <c r="BF193" s="77"/>
      <c r="BG193" s="77"/>
      <c r="BH193" s="77"/>
    </row>
    <row r="194" spans="1:60" x14ac:dyDescent="0.25">
      <c r="A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c r="AG194" s="77"/>
      <c r="AH194" s="77"/>
      <c r="AI194" s="77"/>
      <c r="AJ194" s="77"/>
      <c r="AK194" s="77"/>
      <c r="AL194" s="77"/>
      <c r="AM194" s="77"/>
      <c r="AN194" s="77"/>
      <c r="AO194" s="77"/>
      <c r="AP194" s="77"/>
      <c r="AQ194" s="77"/>
      <c r="AR194" s="77"/>
      <c r="AS194" s="77"/>
      <c r="AT194" s="77"/>
      <c r="AU194" s="77"/>
      <c r="AV194" s="77"/>
      <c r="AW194" s="77"/>
      <c r="AX194" s="77"/>
      <c r="AY194" s="77"/>
      <c r="AZ194" s="77"/>
      <c r="BA194" s="77"/>
      <c r="BB194" s="77"/>
      <c r="BC194" s="77"/>
      <c r="BD194" s="77"/>
      <c r="BE194" s="77"/>
      <c r="BF194" s="77"/>
      <c r="BG194" s="77"/>
      <c r="BH194" s="77"/>
    </row>
    <row r="195" spans="1:60" x14ac:dyDescent="0.25">
      <c r="A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c r="AG195" s="77"/>
      <c r="AH195" s="77"/>
      <c r="AI195" s="77"/>
      <c r="AJ195" s="77"/>
      <c r="AK195" s="77"/>
      <c r="AL195" s="77"/>
      <c r="AM195" s="77"/>
      <c r="AN195" s="77"/>
      <c r="AO195" s="77"/>
      <c r="AP195" s="77"/>
      <c r="AQ195" s="77"/>
      <c r="AR195" s="77"/>
      <c r="AS195" s="77"/>
      <c r="AT195" s="77"/>
      <c r="AU195" s="77"/>
      <c r="AV195" s="77"/>
      <c r="AW195" s="77"/>
      <c r="AX195" s="77"/>
      <c r="AY195" s="77"/>
      <c r="AZ195" s="77"/>
      <c r="BA195" s="77"/>
      <c r="BB195" s="77"/>
      <c r="BC195" s="77"/>
      <c r="BD195" s="77"/>
      <c r="BE195" s="77"/>
      <c r="BF195" s="77"/>
      <c r="BG195" s="77"/>
      <c r="BH195" s="77"/>
    </row>
    <row r="196" spans="1:60" x14ac:dyDescent="0.25">
      <c r="A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c r="AG196" s="77"/>
      <c r="AH196" s="77"/>
      <c r="AI196" s="77"/>
      <c r="AJ196" s="77"/>
      <c r="AK196" s="77"/>
      <c r="AL196" s="77"/>
      <c r="AM196" s="77"/>
      <c r="AN196" s="77"/>
      <c r="AO196" s="77"/>
      <c r="AP196" s="77"/>
      <c r="AQ196" s="77"/>
      <c r="AR196" s="77"/>
      <c r="AS196" s="77"/>
      <c r="AT196" s="77"/>
      <c r="AU196" s="77"/>
      <c r="AV196" s="77"/>
      <c r="AW196" s="77"/>
      <c r="AX196" s="77"/>
      <c r="AY196" s="77"/>
      <c r="AZ196" s="77"/>
      <c r="BA196" s="77"/>
      <c r="BB196" s="77"/>
      <c r="BC196" s="77"/>
      <c r="BD196" s="77"/>
      <c r="BE196" s="77"/>
      <c r="BF196" s="77"/>
      <c r="BG196" s="77"/>
      <c r="BH196" s="77"/>
    </row>
    <row r="197" spans="1:60" x14ac:dyDescent="0.25">
      <c r="A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c r="AN197" s="77"/>
      <c r="AO197" s="77"/>
      <c r="AP197" s="77"/>
      <c r="AQ197" s="77"/>
      <c r="AR197" s="77"/>
      <c r="AS197" s="77"/>
      <c r="AT197" s="77"/>
      <c r="AU197" s="77"/>
      <c r="AV197" s="77"/>
      <c r="AW197" s="77"/>
      <c r="AX197" s="77"/>
      <c r="AY197" s="77"/>
      <c r="AZ197" s="77"/>
      <c r="BA197" s="77"/>
      <c r="BB197" s="77"/>
      <c r="BC197" s="77"/>
      <c r="BD197" s="77"/>
      <c r="BE197" s="77"/>
      <c r="BF197" s="77"/>
      <c r="BG197" s="77"/>
      <c r="BH197" s="77"/>
    </row>
    <row r="198" spans="1:60" x14ac:dyDescent="0.25">
      <c r="A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c r="AN198" s="77"/>
      <c r="AO198" s="77"/>
      <c r="AP198" s="77"/>
      <c r="AQ198" s="77"/>
      <c r="AR198" s="77"/>
      <c r="AS198" s="77"/>
      <c r="AT198" s="77"/>
      <c r="AU198" s="77"/>
      <c r="AV198" s="77"/>
      <c r="AW198" s="77"/>
      <c r="AX198" s="77"/>
      <c r="AY198" s="77"/>
      <c r="AZ198" s="77"/>
      <c r="BA198" s="77"/>
      <c r="BB198" s="77"/>
      <c r="BC198" s="77"/>
      <c r="BD198" s="77"/>
      <c r="BE198" s="77"/>
      <c r="BF198" s="77"/>
      <c r="BG198" s="77"/>
      <c r="BH198" s="77"/>
    </row>
    <row r="199" spans="1:60" x14ac:dyDescent="0.25">
      <c r="A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c r="AG199" s="77"/>
      <c r="AH199" s="77"/>
      <c r="AI199" s="77"/>
      <c r="AJ199" s="77"/>
      <c r="AK199" s="77"/>
      <c r="AL199" s="77"/>
      <c r="AM199" s="77"/>
      <c r="AN199" s="77"/>
      <c r="AO199" s="77"/>
      <c r="AP199" s="77"/>
      <c r="AQ199" s="77"/>
      <c r="AR199" s="77"/>
      <c r="AS199" s="77"/>
      <c r="AT199" s="77"/>
      <c r="AU199" s="77"/>
      <c r="AV199" s="77"/>
      <c r="AW199" s="77"/>
      <c r="AX199" s="77"/>
      <c r="AY199" s="77"/>
      <c r="AZ199" s="77"/>
      <c r="BA199" s="77"/>
      <c r="BB199" s="77"/>
      <c r="BC199" s="77"/>
      <c r="BD199" s="77"/>
      <c r="BE199" s="77"/>
      <c r="BF199" s="77"/>
      <c r="BG199" s="77"/>
      <c r="BH199" s="77"/>
    </row>
    <row r="200" spans="1:60" x14ac:dyDescent="0.25">
      <c r="A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c r="AG200" s="77"/>
      <c r="AH200" s="77"/>
      <c r="AI200" s="77"/>
      <c r="AJ200" s="77"/>
      <c r="AK200" s="77"/>
      <c r="AL200" s="77"/>
      <c r="AM200" s="77"/>
      <c r="AN200" s="77"/>
      <c r="AO200" s="77"/>
      <c r="AP200" s="77"/>
      <c r="AQ200" s="77"/>
      <c r="AR200" s="77"/>
      <c r="AS200" s="77"/>
      <c r="AT200" s="77"/>
      <c r="AU200" s="77"/>
      <c r="AV200" s="77"/>
      <c r="AW200" s="77"/>
      <c r="AX200" s="77"/>
      <c r="AY200" s="77"/>
      <c r="AZ200" s="77"/>
      <c r="BA200" s="77"/>
      <c r="BB200" s="77"/>
      <c r="BC200" s="77"/>
      <c r="BD200" s="77"/>
      <c r="BE200" s="77"/>
      <c r="BF200" s="77"/>
      <c r="BG200" s="77"/>
      <c r="BH200" s="77"/>
    </row>
    <row r="201" spans="1:60" x14ac:dyDescent="0.25">
      <c r="A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77"/>
      <c r="AJ201" s="77"/>
      <c r="AK201" s="77"/>
      <c r="AL201" s="77"/>
      <c r="AM201" s="77"/>
      <c r="AN201" s="77"/>
      <c r="AO201" s="77"/>
      <c r="AP201" s="77"/>
      <c r="AQ201" s="77"/>
      <c r="AR201" s="77"/>
      <c r="AS201" s="77"/>
      <c r="AT201" s="77"/>
      <c r="AU201" s="77"/>
      <c r="AV201" s="77"/>
      <c r="AW201" s="77"/>
      <c r="AX201" s="77"/>
      <c r="AY201" s="77"/>
      <c r="AZ201" s="77"/>
      <c r="BA201" s="77"/>
      <c r="BB201" s="77"/>
      <c r="BC201" s="77"/>
      <c r="BD201" s="77"/>
      <c r="BE201" s="77"/>
      <c r="BF201" s="77"/>
      <c r="BG201" s="77"/>
      <c r="BH201" s="77"/>
    </row>
    <row r="202" spans="1:60" x14ac:dyDescent="0.25">
      <c r="A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c r="AJ202" s="77"/>
      <c r="AK202" s="77"/>
      <c r="AL202" s="77"/>
      <c r="AM202" s="77"/>
      <c r="AN202" s="77"/>
      <c r="AO202" s="77"/>
      <c r="AP202" s="77"/>
      <c r="AQ202" s="77"/>
      <c r="AR202" s="77"/>
      <c r="AS202" s="77"/>
      <c r="AT202" s="77"/>
      <c r="AU202" s="77"/>
      <c r="AV202" s="77"/>
      <c r="AW202" s="77"/>
      <c r="AX202" s="77"/>
      <c r="AY202" s="77"/>
      <c r="AZ202" s="77"/>
      <c r="BA202" s="77"/>
      <c r="BB202" s="77"/>
      <c r="BC202" s="77"/>
      <c r="BD202" s="77"/>
      <c r="BE202" s="77"/>
      <c r="BF202" s="77"/>
      <c r="BG202" s="77"/>
      <c r="BH202" s="77"/>
    </row>
    <row r="203" spans="1:60" x14ac:dyDescent="0.25">
      <c r="A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7"/>
      <c r="AL203" s="77"/>
      <c r="AM203" s="77"/>
      <c r="AN203" s="77"/>
      <c r="AO203" s="77"/>
      <c r="AP203" s="77"/>
      <c r="AQ203" s="77"/>
      <c r="AR203" s="77"/>
      <c r="AS203" s="77"/>
      <c r="AT203" s="77"/>
      <c r="AU203" s="77"/>
      <c r="AV203" s="77"/>
      <c r="AW203" s="77"/>
      <c r="AX203" s="77"/>
      <c r="AY203" s="77"/>
      <c r="AZ203" s="77"/>
      <c r="BA203" s="77"/>
      <c r="BB203" s="77"/>
      <c r="BC203" s="77"/>
      <c r="BD203" s="77"/>
      <c r="BE203" s="77"/>
      <c r="BF203" s="77"/>
      <c r="BG203" s="77"/>
      <c r="BH203" s="77"/>
    </row>
    <row r="204" spans="1:60" x14ac:dyDescent="0.25">
      <c r="A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c r="AG204" s="77"/>
      <c r="AH204" s="77"/>
      <c r="AI204" s="77"/>
      <c r="AJ204" s="77"/>
      <c r="AK204" s="77"/>
      <c r="AL204" s="77"/>
      <c r="AM204" s="77"/>
      <c r="AN204" s="77"/>
      <c r="AO204" s="77"/>
      <c r="AP204" s="77"/>
      <c r="AQ204" s="77"/>
      <c r="AR204" s="77"/>
      <c r="AS204" s="77"/>
      <c r="AT204" s="77"/>
      <c r="AU204" s="77"/>
      <c r="AV204" s="77"/>
      <c r="AW204" s="77"/>
      <c r="AX204" s="77"/>
      <c r="AY204" s="77"/>
      <c r="AZ204" s="77"/>
      <c r="BA204" s="77"/>
      <c r="BB204" s="77"/>
      <c r="BC204" s="77"/>
      <c r="BD204" s="77"/>
      <c r="BE204" s="77"/>
      <c r="BF204" s="77"/>
      <c r="BG204" s="77"/>
      <c r="BH204" s="77"/>
    </row>
    <row r="205" spans="1:60" x14ac:dyDescent="0.25">
      <c r="A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7"/>
      <c r="AI205" s="77"/>
      <c r="AJ205" s="77"/>
      <c r="AK205" s="77"/>
      <c r="AL205" s="77"/>
      <c r="AM205" s="77"/>
      <c r="AN205" s="77"/>
      <c r="AO205" s="77"/>
      <c r="AP205" s="77"/>
      <c r="AQ205" s="77"/>
      <c r="AR205" s="77"/>
      <c r="AS205" s="77"/>
      <c r="AT205" s="77"/>
      <c r="AU205" s="77"/>
      <c r="AV205" s="77"/>
      <c r="AW205" s="77"/>
      <c r="AX205" s="77"/>
      <c r="AY205" s="77"/>
      <c r="AZ205" s="77"/>
      <c r="BA205" s="77"/>
      <c r="BB205" s="77"/>
      <c r="BC205" s="77"/>
      <c r="BD205" s="77"/>
      <c r="BE205" s="77"/>
      <c r="BF205" s="77"/>
      <c r="BG205" s="77"/>
      <c r="BH205" s="77"/>
    </row>
    <row r="206" spans="1:60" x14ac:dyDescent="0.25">
      <c r="A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c r="AH206" s="77"/>
      <c r="AI206" s="77"/>
      <c r="AJ206" s="77"/>
      <c r="AK206" s="77"/>
      <c r="AL206" s="77"/>
      <c r="AM206" s="77"/>
      <c r="AN206" s="77"/>
      <c r="AO206" s="77"/>
      <c r="AP206" s="77"/>
      <c r="AQ206" s="77"/>
      <c r="AR206" s="77"/>
      <c r="AS206" s="77"/>
      <c r="AT206" s="77"/>
      <c r="AU206" s="77"/>
      <c r="AV206" s="77"/>
      <c r="AW206" s="77"/>
      <c r="AX206" s="77"/>
      <c r="AY206" s="77"/>
      <c r="AZ206" s="77"/>
      <c r="BA206" s="77"/>
      <c r="BB206" s="77"/>
      <c r="BC206" s="77"/>
      <c r="BD206" s="77"/>
      <c r="BE206" s="77"/>
      <c r="BF206" s="77"/>
      <c r="BG206" s="77"/>
      <c r="BH206" s="77"/>
    </row>
    <row r="207" spans="1:60" x14ac:dyDescent="0.25">
      <c r="A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c r="AG207" s="77"/>
      <c r="AH207" s="77"/>
      <c r="AI207" s="77"/>
      <c r="AJ207" s="77"/>
      <c r="AK207" s="77"/>
      <c r="AL207" s="77"/>
      <c r="AM207" s="77"/>
      <c r="AN207" s="77"/>
      <c r="AO207" s="77"/>
      <c r="AP207" s="77"/>
      <c r="AQ207" s="77"/>
      <c r="AR207" s="77"/>
      <c r="AS207" s="77"/>
      <c r="AT207" s="77"/>
      <c r="AU207" s="77"/>
      <c r="AV207" s="77"/>
      <c r="AW207" s="77"/>
      <c r="AX207" s="77"/>
      <c r="AY207" s="77"/>
      <c r="AZ207" s="77"/>
      <c r="BA207" s="77"/>
      <c r="BB207" s="77"/>
      <c r="BC207" s="77"/>
      <c r="BD207" s="77"/>
      <c r="BE207" s="77"/>
      <c r="BF207" s="77"/>
      <c r="BG207" s="77"/>
      <c r="BH207" s="77"/>
    </row>
    <row r="208" spans="1:60" x14ac:dyDescent="0.25">
      <c r="A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c r="AG208" s="77"/>
      <c r="AH208" s="77"/>
      <c r="AI208" s="77"/>
      <c r="AJ208" s="77"/>
      <c r="AK208" s="77"/>
      <c r="AL208" s="77"/>
      <c r="AM208" s="77"/>
      <c r="AN208" s="77"/>
      <c r="AO208" s="77"/>
      <c r="AP208" s="77"/>
      <c r="AQ208" s="77"/>
      <c r="AR208" s="77"/>
      <c r="AS208" s="77"/>
      <c r="AT208" s="77"/>
      <c r="AU208" s="77"/>
      <c r="AV208" s="77"/>
      <c r="AW208" s="77"/>
      <c r="AX208" s="77"/>
      <c r="AY208" s="77"/>
      <c r="AZ208" s="77"/>
      <c r="BA208" s="77"/>
      <c r="BB208" s="77"/>
      <c r="BC208" s="77"/>
      <c r="BD208" s="77"/>
      <c r="BE208" s="77"/>
      <c r="BF208" s="77"/>
      <c r="BG208" s="77"/>
      <c r="BH208" s="77"/>
    </row>
    <row r="209" spans="1:60" x14ac:dyDescent="0.25">
      <c r="A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c r="AG209" s="77"/>
      <c r="AH209" s="77"/>
      <c r="AI209" s="77"/>
      <c r="AJ209" s="77"/>
      <c r="AK209" s="77"/>
      <c r="AL209" s="77"/>
      <c r="AM209" s="77"/>
      <c r="AN209" s="77"/>
      <c r="AO209" s="77"/>
      <c r="AP209" s="77"/>
      <c r="AQ209" s="77"/>
      <c r="AR209" s="77"/>
      <c r="AS209" s="77"/>
      <c r="AT209" s="77"/>
      <c r="AU209" s="77"/>
      <c r="AV209" s="77"/>
      <c r="AW209" s="77"/>
      <c r="AX209" s="77"/>
      <c r="AY209" s="77"/>
      <c r="AZ209" s="77"/>
      <c r="BA209" s="77"/>
      <c r="BB209" s="77"/>
      <c r="BC209" s="77"/>
      <c r="BD209" s="77"/>
      <c r="BE209" s="77"/>
      <c r="BF209" s="77"/>
      <c r="BG209" s="77"/>
      <c r="BH209" s="77"/>
    </row>
    <row r="210" spans="1:60" x14ac:dyDescent="0.25">
      <c r="A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c r="AG210" s="77"/>
      <c r="AH210" s="77"/>
      <c r="AI210" s="77"/>
      <c r="AJ210" s="77"/>
      <c r="AK210" s="77"/>
      <c r="AL210" s="77"/>
      <c r="AM210" s="77"/>
      <c r="AN210" s="77"/>
      <c r="AO210" s="77"/>
      <c r="AP210" s="77"/>
      <c r="AQ210" s="77"/>
      <c r="AR210" s="77"/>
      <c r="AS210" s="77"/>
      <c r="AT210" s="77"/>
      <c r="AU210" s="77"/>
      <c r="AV210" s="77"/>
      <c r="AW210" s="77"/>
      <c r="AX210" s="77"/>
      <c r="AY210" s="77"/>
      <c r="AZ210" s="77"/>
      <c r="BA210" s="77"/>
      <c r="BB210" s="77"/>
      <c r="BC210" s="77"/>
      <c r="BD210" s="77"/>
      <c r="BE210" s="77"/>
      <c r="BF210" s="77"/>
      <c r="BG210" s="77"/>
      <c r="BH210" s="77"/>
    </row>
    <row r="211" spans="1:60" x14ac:dyDescent="0.25">
      <c r="A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c r="AI211" s="77"/>
      <c r="AJ211" s="77"/>
      <c r="AK211" s="77"/>
      <c r="AL211" s="77"/>
      <c r="AM211" s="77"/>
      <c r="AN211" s="77"/>
      <c r="AO211" s="77"/>
      <c r="AP211" s="77"/>
      <c r="AQ211" s="77"/>
      <c r="AR211" s="77"/>
      <c r="AS211" s="77"/>
      <c r="AT211" s="77"/>
      <c r="AU211" s="77"/>
      <c r="AV211" s="77"/>
      <c r="AW211" s="77"/>
      <c r="AX211" s="77"/>
      <c r="AY211" s="77"/>
      <c r="AZ211" s="77"/>
      <c r="BA211" s="77"/>
      <c r="BB211" s="77"/>
      <c r="BC211" s="77"/>
      <c r="BD211" s="77"/>
      <c r="BE211" s="77"/>
      <c r="BF211" s="77"/>
      <c r="BG211" s="77"/>
      <c r="BH211" s="77"/>
    </row>
    <row r="212" spans="1:60" x14ac:dyDescent="0.25">
      <c r="A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c r="AH212" s="77"/>
      <c r="AI212" s="77"/>
      <c r="AJ212" s="77"/>
      <c r="AK212" s="77"/>
      <c r="AL212" s="77"/>
      <c r="AM212" s="77"/>
      <c r="AN212" s="77"/>
      <c r="AO212" s="77"/>
      <c r="AP212" s="77"/>
      <c r="AQ212" s="77"/>
      <c r="AR212" s="77"/>
      <c r="AS212" s="77"/>
      <c r="AT212" s="77"/>
      <c r="AU212" s="77"/>
      <c r="AV212" s="77"/>
      <c r="AW212" s="77"/>
      <c r="AX212" s="77"/>
      <c r="AY212" s="77"/>
      <c r="AZ212" s="77"/>
      <c r="BA212" s="77"/>
      <c r="BB212" s="77"/>
      <c r="BC212" s="77"/>
      <c r="BD212" s="77"/>
      <c r="BE212" s="77"/>
      <c r="BF212" s="77"/>
      <c r="BG212" s="77"/>
      <c r="BH212" s="77"/>
    </row>
    <row r="213" spans="1:60" x14ac:dyDescent="0.25">
      <c r="A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c r="AN213" s="77"/>
      <c r="AO213" s="77"/>
      <c r="AP213" s="77"/>
      <c r="AQ213" s="77"/>
      <c r="AR213" s="77"/>
      <c r="AS213" s="77"/>
      <c r="AT213" s="77"/>
      <c r="AU213" s="77"/>
      <c r="AV213" s="77"/>
      <c r="AW213" s="77"/>
      <c r="AX213" s="77"/>
      <c r="AY213" s="77"/>
      <c r="AZ213" s="77"/>
      <c r="BA213" s="77"/>
      <c r="BB213" s="77"/>
      <c r="BC213" s="77"/>
      <c r="BD213" s="77"/>
      <c r="BE213" s="77"/>
      <c r="BF213" s="77"/>
      <c r="BG213" s="77"/>
      <c r="BH213" s="77"/>
    </row>
    <row r="214" spans="1:60" x14ac:dyDescent="0.25">
      <c r="A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c r="AG214" s="77"/>
      <c r="AH214" s="77"/>
      <c r="AI214" s="77"/>
      <c r="AJ214" s="77"/>
      <c r="AK214" s="77"/>
      <c r="AL214" s="77"/>
      <c r="AM214" s="77"/>
      <c r="AN214" s="77"/>
      <c r="AO214" s="77"/>
      <c r="AP214" s="77"/>
      <c r="AQ214" s="77"/>
      <c r="AR214" s="77"/>
      <c r="AS214" s="77"/>
      <c r="AT214" s="77"/>
      <c r="AU214" s="77"/>
      <c r="AV214" s="77"/>
      <c r="AW214" s="77"/>
      <c r="AX214" s="77"/>
      <c r="AY214" s="77"/>
      <c r="AZ214" s="77"/>
      <c r="BA214" s="77"/>
      <c r="BB214" s="77"/>
      <c r="BC214" s="77"/>
      <c r="BD214" s="77"/>
      <c r="BE214" s="77"/>
      <c r="BF214" s="77"/>
      <c r="BG214" s="77"/>
      <c r="BH214" s="77"/>
    </row>
    <row r="215" spans="1:60" x14ac:dyDescent="0.25">
      <c r="A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J215" s="77"/>
      <c r="AK215" s="77"/>
      <c r="AL215" s="77"/>
      <c r="AM215" s="77"/>
      <c r="AN215" s="77"/>
      <c r="AO215" s="77"/>
      <c r="AP215" s="77"/>
      <c r="AQ215" s="77"/>
      <c r="AR215" s="77"/>
      <c r="AS215" s="77"/>
      <c r="AT215" s="77"/>
      <c r="AU215" s="77"/>
      <c r="AV215" s="77"/>
      <c r="AW215" s="77"/>
      <c r="AX215" s="77"/>
      <c r="AY215" s="77"/>
      <c r="AZ215" s="77"/>
      <c r="BA215" s="77"/>
      <c r="BB215" s="77"/>
      <c r="BC215" s="77"/>
      <c r="BD215" s="77"/>
      <c r="BE215" s="77"/>
      <c r="BF215" s="77"/>
      <c r="BG215" s="77"/>
      <c r="BH215" s="77"/>
    </row>
    <row r="216" spans="1:60" x14ac:dyDescent="0.25">
      <c r="A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G216" s="77"/>
      <c r="AH216" s="77"/>
      <c r="AI216" s="77"/>
      <c r="AJ216" s="77"/>
      <c r="AK216" s="77"/>
      <c r="AL216" s="77"/>
      <c r="AM216" s="77"/>
      <c r="AN216" s="77"/>
      <c r="AO216" s="77"/>
      <c r="AP216" s="77"/>
      <c r="AQ216" s="77"/>
      <c r="AR216" s="77"/>
      <c r="AS216" s="77"/>
      <c r="AT216" s="77"/>
      <c r="AU216" s="77"/>
      <c r="AV216" s="77"/>
      <c r="AW216" s="77"/>
      <c r="AX216" s="77"/>
      <c r="AY216" s="77"/>
      <c r="AZ216" s="77"/>
      <c r="BA216" s="77"/>
      <c r="BB216" s="77"/>
      <c r="BC216" s="77"/>
      <c r="BD216" s="77"/>
      <c r="BE216" s="77"/>
      <c r="BF216" s="77"/>
      <c r="BG216" s="77"/>
      <c r="BH216" s="77"/>
    </row>
    <row r="217" spans="1:60" x14ac:dyDescent="0.25">
      <c r="A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c r="AG217" s="77"/>
      <c r="AH217" s="77"/>
      <c r="AI217" s="77"/>
      <c r="AJ217" s="77"/>
      <c r="AK217" s="77"/>
      <c r="AL217" s="77"/>
      <c r="AM217" s="77"/>
      <c r="AN217" s="77"/>
      <c r="AO217" s="77"/>
      <c r="AP217" s="77"/>
      <c r="AQ217" s="77"/>
      <c r="AR217" s="77"/>
      <c r="AS217" s="77"/>
      <c r="AT217" s="77"/>
      <c r="AU217" s="77"/>
      <c r="AV217" s="77"/>
      <c r="AW217" s="77"/>
      <c r="AX217" s="77"/>
      <c r="AY217" s="77"/>
      <c r="AZ217" s="77"/>
      <c r="BA217" s="77"/>
      <c r="BB217" s="77"/>
      <c r="BC217" s="77"/>
      <c r="BD217" s="77"/>
      <c r="BE217" s="77"/>
      <c r="BF217" s="77"/>
      <c r="BG217" s="77"/>
      <c r="BH217" s="77"/>
    </row>
    <row r="218" spans="1:60" x14ac:dyDescent="0.25">
      <c r="A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c r="AG218" s="77"/>
      <c r="AH218" s="77"/>
      <c r="AI218" s="77"/>
      <c r="AJ218" s="77"/>
      <c r="AK218" s="77"/>
      <c r="AL218" s="77"/>
      <c r="AM218" s="77"/>
      <c r="AN218" s="77"/>
      <c r="AO218" s="77"/>
      <c r="AP218" s="77"/>
      <c r="AQ218" s="77"/>
      <c r="AR218" s="77"/>
      <c r="AS218" s="77"/>
      <c r="AT218" s="77"/>
      <c r="AU218" s="77"/>
      <c r="AV218" s="77"/>
      <c r="AW218" s="77"/>
      <c r="AX218" s="77"/>
      <c r="AY218" s="77"/>
      <c r="AZ218" s="77"/>
      <c r="BA218" s="77"/>
      <c r="BB218" s="77"/>
      <c r="BC218" s="77"/>
      <c r="BD218" s="77"/>
      <c r="BE218" s="77"/>
      <c r="BF218" s="77"/>
      <c r="BG218" s="77"/>
      <c r="BH218" s="77"/>
    </row>
    <row r="219" spans="1:60" x14ac:dyDescent="0.25">
      <c r="A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c r="AG219" s="77"/>
      <c r="AH219" s="77"/>
      <c r="AI219" s="77"/>
      <c r="AJ219" s="77"/>
      <c r="AK219" s="77"/>
      <c r="AL219" s="77"/>
      <c r="AM219" s="77"/>
      <c r="AN219" s="77"/>
      <c r="AO219" s="77"/>
      <c r="AP219" s="77"/>
      <c r="AQ219" s="77"/>
      <c r="AR219" s="77"/>
      <c r="AS219" s="77"/>
      <c r="AT219" s="77"/>
      <c r="AU219" s="77"/>
      <c r="AV219" s="77"/>
      <c r="AW219" s="77"/>
      <c r="AX219" s="77"/>
      <c r="AY219" s="77"/>
      <c r="AZ219" s="77"/>
      <c r="BA219" s="77"/>
      <c r="BB219" s="77"/>
      <c r="BC219" s="77"/>
      <c r="BD219" s="77"/>
      <c r="BE219" s="77"/>
      <c r="BF219" s="77"/>
      <c r="BG219" s="77"/>
      <c r="BH219" s="77"/>
    </row>
    <row r="220" spans="1:60" x14ac:dyDescent="0.25">
      <c r="A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c r="AG220" s="77"/>
      <c r="AH220" s="77"/>
      <c r="AI220" s="77"/>
      <c r="AJ220" s="77"/>
      <c r="AK220" s="77"/>
      <c r="AL220" s="77"/>
      <c r="AM220" s="77"/>
      <c r="AN220" s="77"/>
      <c r="AO220" s="77"/>
      <c r="AP220" s="77"/>
      <c r="AQ220" s="77"/>
      <c r="AR220" s="77"/>
      <c r="AS220" s="77"/>
      <c r="AT220" s="77"/>
      <c r="AU220" s="77"/>
      <c r="AV220" s="77"/>
      <c r="AW220" s="77"/>
      <c r="AX220" s="77"/>
      <c r="AY220" s="77"/>
      <c r="AZ220" s="77"/>
      <c r="BA220" s="77"/>
      <c r="BB220" s="77"/>
      <c r="BC220" s="77"/>
      <c r="BD220" s="77"/>
      <c r="BE220" s="77"/>
      <c r="BF220" s="77"/>
      <c r="BG220" s="77"/>
      <c r="BH220" s="77"/>
    </row>
    <row r="221" spans="1:60" x14ac:dyDescent="0.25">
      <c r="A221" s="77"/>
      <c r="J221" s="77"/>
      <c r="K221" s="77"/>
      <c r="L221" s="77"/>
      <c r="M221" s="77"/>
      <c r="N221" s="77"/>
      <c r="O221" s="77"/>
      <c r="P221" s="77"/>
      <c r="Q221" s="77"/>
      <c r="R221" s="77"/>
      <c r="S221" s="77"/>
      <c r="T221" s="77"/>
      <c r="U221" s="77"/>
      <c r="V221" s="77"/>
      <c r="W221" s="77"/>
      <c r="X221" s="77"/>
      <c r="Y221" s="77"/>
      <c r="Z221" s="77"/>
      <c r="AA221" s="77"/>
      <c r="AB221" s="77"/>
      <c r="AC221" s="77"/>
      <c r="AD221" s="77"/>
      <c r="AE221" s="77"/>
      <c r="AF221" s="77"/>
      <c r="AG221" s="77"/>
      <c r="AH221" s="77"/>
      <c r="AI221" s="77"/>
      <c r="AJ221" s="77"/>
      <c r="AK221" s="77"/>
      <c r="AL221" s="77"/>
      <c r="AM221" s="77"/>
      <c r="AN221" s="77"/>
      <c r="AO221" s="77"/>
      <c r="AP221" s="77"/>
      <c r="AQ221" s="77"/>
      <c r="AR221" s="77"/>
      <c r="AS221" s="77"/>
      <c r="AT221" s="77"/>
      <c r="AU221" s="77"/>
      <c r="AV221" s="77"/>
      <c r="AW221" s="77"/>
      <c r="AX221" s="77"/>
      <c r="AY221" s="77"/>
      <c r="AZ221" s="77"/>
      <c r="BA221" s="77"/>
      <c r="BB221" s="77"/>
      <c r="BC221" s="77"/>
      <c r="BD221" s="77"/>
      <c r="BE221" s="77"/>
      <c r="BF221" s="77"/>
      <c r="BG221" s="77"/>
      <c r="BH221" s="77"/>
    </row>
    <row r="222" spans="1:60" x14ac:dyDescent="0.25">
      <c r="A222" s="77"/>
      <c r="J222" s="77"/>
      <c r="K222" s="77"/>
      <c r="L222" s="77"/>
      <c r="M222" s="77"/>
      <c r="N222" s="77"/>
      <c r="O222" s="77"/>
      <c r="P222" s="77"/>
      <c r="Q222" s="77"/>
      <c r="R222" s="77"/>
      <c r="S222" s="77"/>
      <c r="T222" s="77"/>
      <c r="U222" s="77"/>
      <c r="V222" s="77"/>
      <c r="W222" s="77"/>
      <c r="X222" s="77"/>
      <c r="Y222" s="77"/>
      <c r="Z222" s="77"/>
      <c r="AA222" s="77"/>
      <c r="AB222" s="77"/>
      <c r="AC222" s="77"/>
      <c r="AD222" s="77"/>
      <c r="AE222" s="77"/>
      <c r="AF222" s="77"/>
      <c r="AG222" s="77"/>
      <c r="AH222" s="77"/>
      <c r="AI222" s="77"/>
      <c r="AJ222" s="77"/>
      <c r="AK222" s="77"/>
      <c r="AL222" s="77"/>
      <c r="AM222" s="77"/>
      <c r="AN222" s="77"/>
      <c r="AO222" s="77"/>
      <c r="AP222" s="77"/>
      <c r="AQ222" s="77"/>
      <c r="AR222" s="77"/>
      <c r="AS222" s="77"/>
      <c r="AT222" s="77"/>
      <c r="AU222" s="77"/>
      <c r="AV222" s="77"/>
      <c r="AW222" s="77"/>
      <c r="AX222" s="77"/>
      <c r="AY222" s="77"/>
      <c r="AZ222" s="77"/>
      <c r="BA222" s="77"/>
      <c r="BB222" s="77"/>
      <c r="BC222" s="77"/>
      <c r="BD222" s="77"/>
      <c r="BE222" s="77"/>
      <c r="BF222" s="77"/>
      <c r="BG222" s="77"/>
      <c r="BH222" s="77"/>
    </row>
    <row r="223" spans="1:60" x14ac:dyDescent="0.25">
      <c r="A223" s="77"/>
      <c r="J223" s="77"/>
      <c r="K223" s="77"/>
      <c r="L223" s="77"/>
      <c r="M223" s="77"/>
      <c r="N223" s="77"/>
      <c r="O223" s="77"/>
      <c r="P223" s="77"/>
      <c r="Q223" s="77"/>
      <c r="R223" s="77"/>
      <c r="S223" s="77"/>
      <c r="T223" s="77"/>
      <c r="U223" s="77"/>
      <c r="V223" s="77"/>
      <c r="W223" s="77"/>
      <c r="X223" s="77"/>
      <c r="Y223" s="77"/>
      <c r="Z223" s="77"/>
      <c r="AA223" s="77"/>
      <c r="AB223" s="77"/>
      <c r="AC223" s="77"/>
      <c r="AD223" s="77"/>
      <c r="AE223" s="77"/>
      <c r="AF223" s="77"/>
      <c r="AG223" s="77"/>
      <c r="AH223" s="77"/>
      <c r="AI223" s="77"/>
      <c r="AJ223" s="77"/>
      <c r="AK223" s="77"/>
      <c r="AL223" s="77"/>
      <c r="AM223" s="77"/>
      <c r="AN223" s="77"/>
      <c r="AO223" s="77"/>
      <c r="AP223" s="77"/>
      <c r="AQ223" s="77"/>
      <c r="AR223" s="77"/>
      <c r="AS223" s="77"/>
      <c r="AT223" s="77"/>
      <c r="AU223" s="77"/>
      <c r="AV223" s="77"/>
      <c r="AW223" s="77"/>
      <c r="AX223" s="77"/>
      <c r="AY223" s="77"/>
      <c r="AZ223" s="77"/>
      <c r="BA223" s="77"/>
      <c r="BB223" s="77"/>
      <c r="BC223" s="77"/>
      <c r="BD223" s="77"/>
      <c r="BE223" s="77"/>
      <c r="BF223" s="77"/>
      <c r="BG223" s="77"/>
      <c r="BH223" s="77"/>
    </row>
    <row r="224" spans="1:60" x14ac:dyDescent="0.25">
      <c r="A224" s="77"/>
      <c r="J224" s="77"/>
      <c r="K224" s="77"/>
      <c r="L224" s="77"/>
      <c r="M224" s="77"/>
      <c r="N224" s="77"/>
      <c r="O224" s="77"/>
      <c r="P224" s="77"/>
      <c r="Q224" s="77"/>
      <c r="R224" s="77"/>
      <c r="S224" s="77"/>
      <c r="T224" s="77"/>
      <c r="U224" s="77"/>
      <c r="V224" s="77"/>
      <c r="W224" s="77"/>
      <c r="X224" s="77"/>
      <c r="Y224" s="77"/>
      <c r="Z224" s="77"/>
      <c r="AA224" s="77"/>
      <c r="AB224" s="77"/>
      <c r="AC224" s="77"/>
      <c r="AD224" s="77"/>
      <c r="AE224" s="77"/>
      <c r="AF224" s="77"/>
      <c r="AG224" s="77"/>
      <c r="AH224" s="77"/>
      <c r="AI224" s="77"/>
      <c r="AJ224" s="77"/>
      <c r="AK224" s="77"/>
      <c r="AL224" s="77"/>
      <c r="AM224" s="77"/>
      <c r="AN224" s="77"/>
      <c r="AO224" s="77"/>
      <c r="AP224" s="77"/>
      <c r="AQ224" s="77"/>
      <c r="AR224" s="77"/>
      <c r="AS224" s="77"/>
      <c r="AT224" s="77"/>
      <c r="AU224" s="77"/>
      <c r="AV224" s="77"/>
      <c r="AW224" s="77"/>
      <c r="AX224" s="77"/>
      <c r="AY224" s="77"/>
      <c r="AZ224" s="77"/>
      <c r="BA224" s="77"/>
      <c r="BB224" s="77"/>
      <c r="BC224" s="77"/>
      <c r="BD224" s="77"/>
      <c r="BE224" s="77"/>
      <c r="BF224" s="77"/>
      <c r="BG224" s="77"/>
      <c r="BH224" s="77"/>
    </row>
    <row r="225" spans="1:60" x14ac:dyDescent="0.25">
      <c r="A225" s="77"/>
      <c r="J225" s="77"/>
      <c r="K225" s="77"/>
      <c r="L225" s="77"/>
      <c r="M225" s="77"/>
      <c r="N225" s="77"/>
      <c r="O225" s="77"/>
      <c r="P225" s="77"/>
      <c r="Q225" s="77"/>
      <c r="R225" s="77"/>
      <c r="S225" s="77"/>
      <c r="T225" s="77"/>
      <c r="U225" s="77"/>
      <c r="V225" s="77"/>
      <c r="W225" s="77"/>
      <c r="X225" s="77"/>
      <c r="Y225" s="77"/>
      <c r="Z225" s="77"/>
      <c r="AA225" s="77"/>
      <c r="AB225" s="77"/>
      <c r="AC225" s="77"/>
      <c r="AD225" s="77"/>
      <c r="AE225" s="77"/>
      <c r="AF225" s="77"/>
      <c r="AG225" s="77"/>
      <c r="AH225" s="77"/>
      <c r="AI225" s="77"/>
      <c r="AJ225" s="77"/>
      <c r="AK225" s="77"/>
      <c r="AL225" s="77"/>
      <c r="AM225" s="77"/>
      <c r="AN225" s="77"/>
      <c r="AO225" s="77"/>
      <c r="AP225" s="77"/>
      <c r="AQ225" s="77"/>
      <c r="AR225" s="77"/>
      <c r="AS225" s="77"/>
      <c r="AT225" s="77"/>
      <c r="AU225" s="77"/>
      <c r="AV225" s="77"/>
      <c r="AW225" s="77"/>
      <c r="AX225" s="77"/>
      <c r="AY225" s="77"/>
      <c r="AZ225" s="77"/>
      <c r="BA225" s="77"/>
      <c r="BB225" s="77"/>
      <c r="BC225" s="77"/>
      <c r="BD225" s="77"/>
      <c r="BE225" s="77"/>
      <c r="BF225" s="77"/>
      <c r="BG225" s="77"/>
      <c r="BH225" s="77"/>
    </row>
    <row r="226" spans="1:60" x14ac:dyDescent="0.25">
      <c r="A226" s="77"/>
      <c r="J226" s="77"/>
      <c r="K226" s="77"/>
      <c r="L226" s="77"/>
      <c r="M226" s="77"/>
      <c r="N226" s="77"/>
      <c r="O226" s="77"/>
      <c r="P226" s="77"/>
      <c r="Q226" s="77"/>
      <c r="R226" s="77"/>
      <c r="S226" s="77"/>
      <c r="T226" s="77"/>
      <c r="U226" s="77"/>
      <c r="V226" s="77"/>
      <c r="W226" s="77"/>
      <c r="X226" s="77"/>
      <c r="Y226" s="77"/>
      <c r="Z226" s="77"/>
      <c r="AA226" s="77"/>
      <c r="AB226" s="77"/>
      <c r="AC226" s="77"/>
      <c r="AD226" s="77"/>
      <c r="AE226" s="77"/>
      <c r="AF226" s="77"/>
      <c r="AG226" s="77"/>
      <c r="AH226" s="77"/>
      <c r="AI226" s="77"/>
      <c r="AJ226" s="77"/>
      <c r="AK226" s="77"/>
      <c r="AL226" s="77"/>
      <c r="AM226" s="77"/>
      <c r="AN226" s="77"/>
      <c r="AO226" s="77"/>
      <c r="AP226" s="77"/>
      <c r="AQ226" s="77"/>
      <c r="AR226" s="77"/>
      <c r="AS226" s="77"/>
      <c r="AT226" s="77"/>
      <c r="AU226" s="77"/>
      <c r="AV226" s="77"/>
      <c r="AW226" s="77"/>
      <c r="AX226" s="77"/>
      <c r="AY226" s="77"/>
      <c r="AZ226" s="77"/>
      <c r="BA226" s="77"/>
      <c r="BB226" s="77"/>
      <c r="BC226" s="77"/>
      <c r="BD226" s="77"/>
      <c r="BE226" s="77"/>
      <c r="BF226" s="77"/>
      <c r="BG226" s="77"/>
      <c r="BH226" s="77"/>
    </row>
    <row r="227" spans="1:60" x14ac:dyDescent="0.25">
      <c r="A227" s="77"/>
      <c r="J227" s="77"/>
      <c r="K227" s="77"/>
      <c r="L227" s="77"/>
      <c r="M227" s="77"/>
      <c r="N227" s="77"/>
      <c r="O227" s="77"/>
      <c r="P227" s="77"/>
      <c r="Q227" s="77"/>
      <c r="R227" s="77"/>
      <c r="S227" s="77"/>
      <c r="T227" s="77"/>
      <c r="U227" s="77"/>
      <c r="V227" s="77"/>
      <c r="W227" s="77"/>
      <c r="X227" s="77"/>
      <c r="Y227" s="77"/>
      <c r="Z227" s="77"/>
      <c r="AA227" s="77"/>
      <c r="AB227" s="77"/>
      <c r="AC227" s="77"/>
      <c r="AD227" s="77"/>
      <c r="AE227" s="77"/>
      <c r="AF227" s="77"/>
      <c r="AG227" s="77"/>
      <c r="AH227" s="77"/>
      <c r="AI227" s="77"/>
      <c r="AJ227" s="77"/>
      <c r="AK227" s="77"/>
      <c r="AL227" s="77"/>
      <c r="AM227" s="77"/>
      <c r="AN227" s="77"/>
      <c r="AO227" s="77"/>
      <c r="AP227" s="77"/>
      <c r="AQ227" s="77"/>
      <c r="AR227" s="77"/>
      <c r="AS227" s="77"/>
      <c r="AT227" s="77"/>
      <c r="AU227" s="77"/>
      <c r="AV227" s="77"/>
      <c r="AW227" s="77"/>
      <c r="AX227" s="77"/>
      <c r="AY227" s="77"/>
      <c r="AZ227" s="77"/>
      <c r="BA227" s="77"/>
      <c r="BB227" s="77"/>
      <c r="BC227" s="77"/>
      <c r="BD227" s="77"/>
      <c r="BE227" s="77"/>
      <c r="BF227" s="77"/>
      <c r="BG227" s="77"/>
      <c r="BH227" s="77"/>
    </row>
    <row r="228" spans="1:60" x14ac:dyDescent="0.25">
      <c r="A228" s="77"/>
      <c r="J228" s="77"/>
      <c r="K228" s="77"/>
      <c r="L228" s="77"/>
      <c r="M228" s="77"/>
      <c r="N228" s="77"/>
      <c r="O228" s="77"/>
      <c r="P228" s="77"/>
      <c r="Q228" s="77"/>
      <c r="R228" s="77"/>
      <c r="S228" s="77"/>
      <c r="T228" s="77"/>
      <c r="U228" s="77"/>
      <c r="V228" s="77"/>
      <c r="W228" s="77"/>
      <c r="X228" s="77"/>
      <c r="Y228" s="77"/>
      <c r="Z228" s="77"/>
      <c r="AA228" s="77"/>
      <c r="AB228" s="77"/>
      <c r="AC228" s="77"/>
      <c r="AD228" s="77"/>
      <c r="AE228" s="77"/>
      <c r="AF228" s="77"/>
      <c r="AG228" s="77"/>
      <c r="AH228" s="77"/>
      <c r="AI228" s="77"/>
      <c r="AJ228" s="77"/>
      <c r="AK228" s="77"/>
      <c r="AL228" s="77"/>
      <c r="AM228" s="77"/>
      <c r="AN228" s="77"/>
      <c r="AO228" s="77"/>
      <c r="AP228" s="77"/>
      <c r="AQ228" s="77"/>
      <c r="AR228" s="77"/>
      <c r="AS228" s="77"/>
      <c r="AT228" s="77"/>
      <c r="AU228" s="77"/>
      <c r="AV228" s="77"/>
      <c r="AW228" s="77"/>
      <c r="AX228" s="77"/>
      <c r="AY228" s="77"/>
      <c r="AZ228" s="77"/>
      <c r="BA228" s="77"/>
      <c r="BB228" s="77"/>
      <c r="BC228" s="77"/>
      <c r="BD228" s="77"/>
      <c r="BE228" s="77"/>
      <c r="BF228" s="77"/>
      <c r="BG228" s="77"/>
      <c r="BH228" s="77"/>
    </row>
    <row r="229" spans="1:60" x14ac:dyDescent="0.25">
      <c r="A229" s="77"/>
      <c r="J229" s="77"/>
      <c r="K229" s="77"/>
      <c r="L229" s="77"/>
      <c r="M229" s="77"/>
      <c r="N229" s="77"/>
      <c r="O229" s="77"/>
      <c r="P229" s="77"/>
      <c r="Q229" s="77"/>
      <c r="R229" s="77"/>
      <c r="S229" s="77"/>
      <c r="T229" s="77"/>
      <c r="U229" s="77"/>
      <c r="V229" s="77"/>
      <c r="W229" s="77"/>
      <c r="X229" s="77"/>
      <c r="Y229" s="77"/>
      <c r="Z229" s="77"/>
      <c r="AA229" s="77"/>
      <c r="AB229" s="77"/>
      <c r="AC229" s="77"/>
      <c r="AD229" s="77"/>
      <c r="AE229" s="77"/>
      <c r="AF229" s="77"/>
      <c r="AG229" s="77"/>
      <c r="AH229" s="77"/>
      <c r="AI229" s="77"/>
      <c r="AJ229" s="77"/>
      <c r="AK229" s="77"/>
      <c r="AL229" s="77"/>
      <c r="AM229" s="77"/>
      <c r="AN229" s="77"/>
      <c r="AO229" s="77"/>
      <c r="AP229" s="77"/>
      <c r="AQ229" s="77"/>
      <c r="AR229" s="77"/>
      <c r="AS229" s="77"/>
      <c r="AT229" s="77"/>
      <c r="AU229" s="77"/>
      <c r="AV229" s="77"/>
      <c r="AW229" s="77"/>
      <c r="AX229" s="77"/>
      <c r="AY229" s="77"/>
      <c r="AZ229" s="77"/>
      <c r="BA229" s="77"/>
      <c r="BB229" s="77"/>
      <c r="BC229" s="77"/>
      <c r="BD229" s="77"/>
      <c r="BE229" s="77"/>
      <c r="BF229" s="77"/>
      <c r="BG229" s="77"/>
      <c r="BH229" s="77"/>
    </row>
    <row r="230" spans="1:60" x14ac:dyDescent="0.25">
      <c r="A230" s="77"/>
      <c r="J230" s="77"/>
      <c r="K230" s="77"/>
      <c r="L230" s="77"/>
      <c r="M230" s="77"/>
      <c r="N230" s="77"/>
      <c r="O230" s="77"/>
      <c r="P230" s="77"/>
      <c r="Q230" s="77"/>
      <c r="R230" s="77"/>
      <c r="S230" s="77"/>
      <c r="T230" s="77"/>
      <c r="U230" s="77"/>
      <c r="V230" s="77"/>
      <c r="W230" s="77"/>
      <c r="X230" s="77"/>
      <c r="Y230" s="77"/>
      <c r="Z230" s="77"/>
      <c r="AA230" s="77"/>
      <c r="AB230" s="77"/>
      <c r="AC230" s="77"/>
      <c r="AD230" s="77"/>
      <c r="AE230" s="77"/>
      <c r="AF230" s="77"/>
      <c r="AG230" s="77"/>
      <c r="AH230" s="77"/>
      <c r="AI230" s="77"/>
      <c r="AJ230" s="77"/>
      <c r="AK230" s="77"/>
      <c r="AL230" s="77"/>
      <c r="AM230" s="77"/>
      <c r="AN230" s="77"/>
      <c r="AO230" s="77"/>
      <c r="AP230" s="77"/>
      <c r="AQ230" s="77"/>
      <c r="AR230" s="77"/>
      <c r="AS230" s="77"/>
      <c r="AT230" s="77"/>
      <c r="AU230" s="77"/>
      <c r="AV230" s="77"/>
      <c r="AW230" s="77"/>
      <c r="AX230" s="77"/>
      <c r="AY230" s="77"/>
      <c r="AZ230" s="77"/>
      <c r="BA230" s="77"/>
      <c r="BB230" s="77"/>
      <c r="BC230" s="77"/>
      <c r="BD230" s="77"/>
      <c r="BE230" s="77"/>
      <c r="BF230" s="77"/>
      <c r="BG230" s="77"/>
      <c r="BH230" s="77"/>
    </row>
    <row r="231" spans="1:60" x14ac:dyDescent="0.25">
      <c r="A231" s="77"/>
      <c r="J231" s="77"/>
      <c r="K231" s="77"/>
      <c r="L231" s="77"/>
      <c r="M231" s="77"/>
      <c r="N231" s="77"/>
      <c r="O231" s="77"/>
      <c r="P231" s="77"/>
      <c r="Q231" s="77"/>
      <c r="R231" s="77"/>
      <c r="S231" s="77"/>
      <c r="T231" s="77"/>
      <c r="U231" s="77"/>
      <c r="V231" s="77"/>
      <c r="W231" s="77"/>
      <c r="X231" s="77"/>
      <c r="Y231" s="77"/>
      <c r="Z231" s="77"/>
      <c r="AA231" s="77"/>
      <c r="AB231" s="77"/>
      <c r="AC231" s="77"/>
      <c r="AD231" s="77"/>
      <c r="AE231" s="77"/>
      <c r="AF231" s="77"/>
      <c r="AG231" s="77"/>
      <c r="AH231" s="77"/>
      <c r="AI231" s="77"/>
      <c r="AJ231" s="77"/>
      <c r="AK231" s="77"/>
      <c r="AL231" s="77"/>
      <c r="AM231" s="77"/>
      <c r="AN231" s="77"/>
      <c r="AO231" s="77"/>
      <c r="AP231" s="77"/>
      <c r="AQ231" s="77"/>
      <c r="AR231" s="77"/>
      <c r="AS231" s="77"/>
      <c r="AT231" s="77"/>
      <c r="AU231" s="77"/>
      <c r="AV231" s="77"/>
      <c r="AW231" s="77"/>
      <c r="AX231" s="77"/>
      <c r="AY231" s="77"/>
      <c r="AZ231" s="77"/>
      <c r="BA231" s="77"/>
      <c r="BB231" s="77"/>
      <c r="BC231" s="77"/>
      <c r="BD231" s="77"/>
      <c r="BE231" s="77"/>
      <c r="BF231" s="77"/>
      <c r="BG231" s="77"/>
      <c r="BH231" s="77"/>
    </row>
    <row r="232" spans="1:60" x14ac:dyDescent="0.25">
      <c r="A232" s="77"/>
      <c r="J232" s="77"/>
      <c r="K232" s="77"/>
      <c r="L232" s="77"/>
      <c r="M232" s="77"/>
      <c r="N232" s="77"/>
      <c r="O232" s="77"/>
      <c r="P232" s="77"/>
      <c r="Q232" s="77"/>
      <c r="R232" s="77"/>
      <c r="S232" s="77"/>
      <c r="T232" s="77"/>
      <c r="U232" s="77"/>
      <c r="V232" s="77"/>
      <c r="W232" s="77"/>
      <c r="X232" s="77"/>
      <c r="Y232" s="77"/>
      <c r="Z232" s="77"/>
      <c r="AA232" s="77"/>
      <c r="AB232" s="77"/>
      <c r="AC232" s="77"/>
      <c r="AD232" s="77"/>
      <c r="AE232" s="77"/>
      <c r="AF232" s="77"/>
      <c r="AG232" s="77"/>
      <c r="AH232" s="77"/>
      <c r="AI232" s="77"/>
      <c r="AJ232" s="77"/>
      <c r="AK232" s="77"/>
      <c r="AL232" s="77"/>
      <c r="AM232" s="77"/>
      <c r="AN232" s="77"/>
      <c r="AO232" s="77"/>
      <c r="AP232" s="77"/>
      <c r="AQ232" s="77"/>
      <c r="AR232" s="77"/>
      <c r="AS232" s="77"/>
      <c r="AT232" s="77"/>
      <c r="AU232" s="77"/>
      <c r="AV232" s="77"/>
      <c r="AW232" s="77"/>
      <c r="AX232" s="77"/>
      <c r="AY232" s="77"/>
      <c r="AZ232" s="77"/>
      <c r="BA232" s="77"/>
      <c r="BB232" s="77"/>
      <c r="BC232" s="77"/>
      <c r="BD232" s="77"/>
      <c r="BE232" s="77"/>
      <c r="BF232" s="77"/>
      <c r="BG232" s="77"/>
      <c r="BH232" s="77"/>
    </row>
    <row r="233" spans="1:60" x14ac:dyDescent="0.25">
      <c r="A233" s="77"/>
      <c r="J233" s="77"/>
      <c r="K233" s="77"/>
      <c r="L233" s="77"/>
      <c r="M233" s="77"/>
      <c r="N233" s="77"/>
      <c r="O233" s="77"/>
      <c r="P233" s="77"/>
      <c r="Q233" s="77"/>
      <c r="R233" s="77"/>
      <c r="S233" s="77"/>
      <c r="T233" s="77"/>
      <c r="U233" s="77"/>
      <c r="V233" s="77"/>
      <c r="W233" s="77"/>
      <c r="X233" s="77"/>
      <c r="Y233" s="77"/>
      <c r="Z233" s="77"/>
      <c r="AA233" s="77"/>
      <c r="AB233" s="77"/>
      <c r="AC233" s="77"/>
      <c r="AD233" s="77"/>
      <c r="AE233" s="77"/>
      <c r="AF233" s="77"/>
      <c r="AG233" s="77"/>
      <c r="AH233" s="77"/>
      <c r="AI233" s="77"/>
      <c r="AJ233" s="77"/>
      <c r="AK233" s="77"/>
      <c r="AL233" s="77"/>
      <c r="AM233" s="77"/>
      <c r="AN233" s="77"/>
      <c r="AO233" s="77"/>
      <c r="AP233" s="77"/>
      <c r="AQ233" s="77"/>
      <c r="AR233" s="77"/>
      <c r="AS233" s="77"/>
      <c r="AT233" s="77"/>
      <c r="AU233" s="77"/>
      <c r="AV233" s="77"/>
      <c r="AW233" s="77"/>
      <c r="AX233" s="77"/>
      <c r="AY233" s="77"/>
      <c r="AZ233" s="77"/>
      <c r="BA233" s="77"/>
      <c r="BB233" s="77"/>
      <c r="BC233" s="77"/>
      <c r="BD233" s="77"/>
      <c r="BE233" s="77"/>
      <c r="BF233" s="77"/>
      <c r="BG233" s="77"/>
      <c r="BH233" s="77"/>
    </row>
    <row r="234" spans="1:60" x14ac:dyDescent="0.25">
      <c r="A234" s="77"/>
      <c r="J234" s="77"/>
      <c r="K234" s="77"/>
      <c r="L234" s="77"/>
      <c r="M234" s="77"/>
      <c r="N234" s="77"/>
      <c r="O234" s="77"/>
      <c r="P234" s="77"/>
      <c r="Q234" s="77"/>
      <c r="R234" s="77"/>
      <c r="S234" s="77"/>
      <c r="T234" s="77"/>
      <c r="U234" s="77"/>
      <c r="V234" s="77"/>
      <c r="W234" s="77"/>
      <c r="X234" s="77"/>
      <c r="Y234" s="77"/>
      <c r="Z234" s="77"/>
      <c r="AA234" s="77"/>
      <c r="AB234" s="77"/>
      <c r="AC234" s="77"/>
      <c r="AD234" s="77"/>
      <c r="AE234" s="77"/>
      <c r="AF234" s="77"/>
      <c r="AG234" s="77"/>
      <c r="AH234" s="77"/>
      <c r="AI234" s="77"/>
      <c r="AJ234" s="77"/>
      <c r="AK234" s="77"/>
      <c r="AL234" s="77"/>
      <c r="AM234" s="77"/>
      <c r="AN234" s="77"/>
      <c r="AO234" s="77"/>
      <c r="AP234" s="77"/>
      <c r="AQ234" s="77"/>
      <c r="AR234" s="77"/>
      <c r="AS234" s="77"/>
      <c r="AT234" s="77"/>
      <c r="AU234" s="77"/>
      <c r="AV234" s="77"/>
      <c r="AW234" s="77"/>
      <c r="AX234" s="77"/>
      <c r="AY234" s="77"/>
      <c r="AZ234" s="77"/>
      <c r="BA234" s="77"/>
      <c r="BB234" s="77"/>
      <c r="BC234" s="77"/>
      <c r="BD234" s="77"/>
      <c r="BE234" s="77"/>
      <c r="BF234" s="77"/>
      <c r="BG234" s="77"/>
      <c r="BH234" s="77"/>
    </row>
    <row r="235" spans="1:60" x14ac:dyDescent="0.25">
      <c r="A235" s="77"/>
      <c r="J235" s="77"/>
      <c r="K235" s="77"/>
      <c r="L235" s="77"/>
      <c r="M235" s="77"/>
      <c r="N235" s="77"/>
      <c r="O235" s="77"/>
      <c r="P235" s="77"/>
      <c r="Q235" s="77"/>
      <c r="R235" s="77"/>
      <c r="S235" s="77"/>
      <c r="T235" s="77"/>
      <c r="U235" s="77"/>
      <c r="V235" s="77"/>
      <c r="W235" s="77"/>
      <c r="X235" s="77"/>
      <c r="Y235" s="77"/>
      <c r="Z235" s="77"/>
      <c r="AA235" s="77"/>
      <c r="AB235" s="77"/>
      <c r="AC235" s="77"/>
      <c r="AD235" s="77"/>
      <c r="AE235" s="77"/>
      <c r="AF235" s="77"/>
      <c r="AG235" s="77"/>
      <c r="AH235" s="77"/>
      <c r="AI235" s="77"/>
      <c r="AJ235" s="77"/>
      <c r="AK235" s="77"/>
      <c r="AL235" s="77"/>
      <c r="AM235" s="77"/>
      <c r="AN235" s="77"/>
      <c r="AO235" s="77"/>
      <c r="AP235" s="77"/>
      <c r="AQ235" s="77"/>
      <c r="AR235" s="77"/>
      <c r="AS235" s="77"/>
      <c r="AT235" s="77"/>
      <c r="AU235" s="77"/>
      <c r="AV235" s="77"/>
      <c r="AW235" s="77"/>
      <c r="AX235" s="77"/>
      <c r="AY235" s="77"/>
      <c r="AZ235" s="77"/>
      <c r="BA235" s="77"/>
      <c r="BB235" s="77"/>
      <c r="BC235" s="77"/>
      <c r="BD235" s="77"/>
      <c r="BE235" s="77"/>
      <c r="BF235" s="77"/>
      <c r="BG235" s="77"/>
      <c r="BH235" s="77"/>
    </row>
    <row r="236" spans="1:60" x14ac:dyDescent="0.25">
      <c r="A236" s="77"/>
      <c r="J236" s="77"/>
      <c r="K236" s="77"/>
      <c r="L236" s="77"/>
      <c r="M236" s="77"/>
      <c r="N236" s="77"/>
      <c r="O236" s="77"/>
      <c r="P236" s="77"/>
      <c r="Q236" s="77"/>
      <c r="R236" s="77"/>
      <c r="S236" s="77"/>
      <c r="T236" s="77"/>
      <c r="U236" s="77"/>
      <c r="V236" s="77"/>
      <c r="W236" s="77"/>
      <c r="X236" s="77"/>
      <c r="Y236" s="77"/>
      <c r="Z236" s="77"/>
      <c r="AA236" s="77"/>
      <c r="AB236" s="77"/>
      <c r="AC236" s="77"/>
      <c r="AD236" s="77"/>
      <c r="AE236" s="77"/>
      <c r="AF236" s="77"/>
      <c r="AG236" s="77"/>
      <c r="AH236" s="77"/>
      <c r="AI236" s="77"/>
      <c r="AJ236" s="77"/>
      <c r="AK236" s="77"/>
      <c r="AL236" s="77"/>
      <c r="AM236" s="77"/>
      <c r="AN236" s="77"/>
      <c r="AO236" s="77"/>
      <c r="AP236" s="77"/>
      <c r="AQ236" s="77"/>
      <c r="AR236" s="77"/>
      <c r="AS236" s="77"/>
      <c r="AT236" s="77"/>
      <c r="AU236" s="77"/>
      <c r="AV236" s="77"/>
      <c r="AW236" s="77"/>
      <c r="AX236" s="77"/>
      <c r="AY236" s="77"/>
      <c r="AZ236" s="77"/>
      <c r="BA236" s="77"/>
      <c r="BB236" s="77"/>
      <c r="BC236" s="77"/>
      <c r="BD236" s="77"/>
      <c r="BE236" s="77"/>
      <c r="BF236" s="77"/>
      <c r="BG236" s="77"/>
      <c r="BH236" s="77"/>
    </row>
    <row r="237" spans="1:60" x14ac:dyDescent="0.25">
      <c r="A237" s="77"/>
      <c r="J237" s="77"/>
      <c r="K237" s="77"/>
      <c r="L237" s="77"/>
      <c r="M237" s="77"/>
      <c r="N237" s="77"/>
      <c r="O237" s="77"/>
      <c r="P237" s="77"/>
      <c r="Q237" s="77"/>
      <c r="R237" s="77"/>
      <c r="S237" s="77"/>
      <c r="T237" s="77"/>
      <c r="U237" s="77"/>
      <c r="V237" s="77"/>
      <c r="W237" s="77"/>
      <c r="X237" s="77"/>
      <c r="Y237" s="77"/>
      <c r="Z237" s="77"/>
      <c r="AA237" s="77"/>
      <c r="AB237" s="77"/>
      <c r="AC237" s="77"/>
      <c r="AD237" s="77"/>
      <c r="AE237" s="77"/>
      <c r="AF237" s="77"/>
      <c r="AG237" s="77"/>
      <c r="AH237" s="77"/>
      <c r="AI237" s="77"/>
      <c r="AJ237" s="77"/>
      <c r="AK237" s="77"/>
      <c r="AL237" s="77"/>
      <c r="AM237" s="77"/>
      <c r="AN237" s="77"/>
      <c r="AO237" s="77"/>
      <c r="AP237" s="77"/>
      <c r="AQ237" s="77"/>
      <c r="AR237" s="77"/>
      <c r="AS237" s="77"/>
      <c r="AT237" s="77"/>
      <c r="AU237" s="77"/>
      <c r="AV237" s="77"/>
      <c r="AW237" s="77"/>
      <c r="AX237" s="77"/>
      <c r="AY237" s="77"/>
      <c r="AZ237" s="77"/>
      <c r="BA237" s="77"/>
      <c r="BB237" s="77"/>
      <c r="BC237" s="77"/>
      <c r="BD237" s="77"/>
      <c r="BE237" s="77"/>
      <c r="BF237" s="77"/>
      <c r="BG237" s="77"/>
      <c r="BH237" s="77"/>
    </row>
    <row r="238" spans="1:60" x14ac:dyDescent="0.25">
      <c r="A238" s="77"/>
      <c r="J238" s="77"/>
      <c r="K238" s="77"/>
      <c r="L238" s="77"/>
      <c r="M238" s="77"/>
      <c r="N238" s="77"/>
      <c r="O238" s="77"/>
      <c r="P238" s="77"/>
      <c r="Q238" s="77"/>
      <c r="R238" s="77"/>
      <c r="S238" s="77"/>
      <c r="T238" s="77"/>
      <c r="U238" s="77"/>
      <c r="V238" s="77"/>
      <c r="W238" s="77"/>
      <c r="X238" s="77"/>
      <c r="Y238" s="77"/>
      <c r="Z238" s="77"/>
      <c r="AA238" s="77"/>
      <c r="AB238" s="77"/>
      <c r="AC238" s="77"/>
      <c r="AD238" s="77"/>
      <c r="AE238" s="77"/>
      <c r="AF238" s="77"/>
      <c r="AG238" s="77"/>
      <c r="AH238" s="77"/>
      <c r="AI238" s="77"/>
      <c r="AJ238" s="77"/>
      <c r="AK238" s="77"/>
      <c r="AL238" s="77"/>
      <c r="AM238" s="77"/>
      <c r="AN238" s="77"/>
      <c r="AO238" s="77"/>
      <c r="AP238" s="77"/>
      <c r="AQ238" s="77"/>
      <c r="AR238" s="77"/>
      <c r="AS238" s="77"/>
      <c r="AT238" s="77"/>
      <c r="AU238" s="77"/>
      <c r="AV238" s="77"/>
      <c r="AW238" s="77"/>
      <c r="AX238" s="77"/>
      <c r="AY238" s="77"/>
      <c r="AZ238" s="77"/>
      <c r="BA238" s="77"/>
      <c r="BB238" s="77"/>
      <c r="BC238" s="77"/>
      <c r="BD238" s="77"/>
      <c r="BE238" s="77"/>
      <c r="BF238" s="77"/>
      <c r="BG238" s="77"/>
      <c r="BH238" s="77"/>
    </row>
    <row r="239" spans="1:60" x14ac:dyDescent="0.25">
      <c r="A239" s="77"/>
      <c r="J239" s="77"/>
      <c r="K239" s="77"/>
      <c r="L239" s="77"/>
      <c r="M239" s="77"/>
      <c r="N239" s="77"/>
      <c r="O239" s="77"/>
      <c r="P239" s="77"/>
      <c r="Q239" s="77"/>
      <c r="R239" s="77"/>
      <c r="S239" s="77"/>
      <c r="T239" s="77"/>
      <c r="U239" s="77"/>
      <c r="V239" s="77"/>
      <c r="W239" s="77"/>
      <c r="X239" s="77"/>
      <c r="Y239" s="77"/>
      <c r="Z239" s="77"/>
      <c r="AA239" s="77"/>
      <c r="AB239" s="77"/>
      <c r="AC239" s="77"/>
      <c r="AD239" s="77"/>
      <c r="AE239" s="77"/>
      <c r="AF239" s="77"/>
      <c r="AG239" s="77"/>
      <c r="AH239" s="77"/>
      <c r="AI239" s="77"/>
      <c r="AJ239" s="77"/>
      <c r="AK239" s="77"/>
      <c r="AL239" s="77"/>
      <c r="AM239" s="77"/>
      <c r="AN239" s="77"/>
      <c r="AO239" s="77"/>
      <c r="AP239" s="77"/>
      <c r="AQ239" s="77"/>
      <c r="AR239" s="77"/>
      <c r="AS239" s="77"/>
      <c r="AT239" s="77"/>
      <c r="AU239" s="77"/>
      <c r="AV239" s="77"/>
      <c r="AW239" s="77"/>
      <c r="AX239" s="77"/>
      <c r="AY239" s="77"/>
      <c r="AZ239" s="77"/>
      <c r="BA239" s="77"/>
      <c r="BB239" s="77"/>
      <c r="BC239" s="77"/>
      <c r="BD239" s="77"/>
      <c r="BE239" s="77"/>
      <c r="BF239" s="77"/>
      <c r="BG239" s="77"/>
      <c r="BH239" s="77"/>
    </row>
    <row r="240" spans="1:60" x14ac:dyDescent="0.25">
      <c r="A240" s="77"/>
      <c r="J240" s="77"/>
      <c r="K240" s="77"/>
      <c r="L240" s="77"/>
      <c r="M240" s="77"/>
      <c r="N240" s="77"/>
      <c r="O240" s="77"/>
      <c r="P240" s="77"/>
      <c r="Q240" s="77"/>
      <c r="R240" s="77"/>
      <c r="S240" s="77"/>
      <c r="T240" s="77"/>
      <c r="U240" s="77"/>
      <c r="V240" s="77"/>
      <c r="W240" s="77"/>
      <c r="X240" s="77"/>
      <c r="Y240" s="77"/>
      <c r="Z240" s="77"/>
      <c r="AA240" s="77"/>
      <c r="AB240" s="77"/>
      <c r="AC240" s="77"/>
      <c r="AD240" s="77"/>
      <c r="AE240" s="77"/>
      <c r="AF240" s="77"/>
      <c r="AG240" s="77"/>
      <c r="AH240" s="77"/>
      <c r="AI240" s="77"/>
      <c r="AJ240" s="77"/>
      <c r="AK240" s="77"/>
      <c r="AL240" s="77"/>
      <c r="AM240" s="77"/>
      <c r="AN240" s="77"/>
      <c r="AO240" s="77"/>
      <c r="AP240" s="77"/>
      <c r="AQ240" s="77"/>
      <c r="AR240" s="77"/>
      <c r="AS240" s="77"/>
      <c r="AT240" s="77"/>
      <c r="AU240" s="77"/>
      <c r="AV240" s="77"/>
      <c r="AW240" s="77"/>
      <c r="AX240" s="77"/>
      <c r="AY240" s="77"/>
      <c r="AZ240" s="77"/>
      <c r="BA240" s="77"/>
      <c r="BB240" s="77"/>
      <c r="BC240" s="77"/>
      <c r="BD240" s="77"/>
      <c r="BE240" s="77"/>
      <c r="BF240" s="77"/>
      <c r="BG240" s="77"/>
      <c r="BH240" s="77"/>
    </row>
    <row r="241" spans="1:60" x14ac:dyDescent="0.25">
      <c r="A241" s="77"/>
      <c r="J241" s="77"/>
      <c r="K241" s="77"/>
      <c r="L241" s="77"/>
      <c r="M241" s="77"/>
      <c r="N241" s="77"/>
      <c r="O241" s="77"/>
      <c r="P241" s="77"/>
      <c r="Q241" s="77"/>
      <c r="R241" s="77"/>
      <c r="S241" s="77"/>
      <c r="T241" s="77"/>
      <c r="U241" s="77"/>
      <c r="V241" s="77"/>
      <c r="W241" s="77"/>
      <c r="X241" s="77"/>
      <c r="Y241" s="77"/>
      <c r="Z241" s="77"/>
      <c r="AA241" s="77"/>
      <c r="AB241" s="77"/>
      <c r="AC241" s="77"/>
      <c r="AD241" s="77"/>
      <c r="AE241" s="77"/>
      <c r="AF241" s="77"/>
      <c r="AG241" s="77"/>
      <c r="AH241" s="77"/>
      <c r="AI241" s="77"/>
      <c r="AJ241" s="77"/>
      <c r="AK241" s="77"/>
      <c r="AL241" s="77"/>
      <c r="AM241" s="77"/>
      <c r="AN241" s="77"/>
      <c r="AO241" s="77"/>
      <c r="AP241" s="77"/>
      <c r="AQ241" s="77"/>
      <c r="AR241" s="77"/>
      <c r="AS241" s="77"/>
      <c r="AT241" s="77"/>
      <c r="AU241" s="77"/>
      <c r="AV241" s="77"/>
      <c r="AW241" s="77"/>
      <c r="AX241" s="77"/>
      <c r="AY241" s="77"/>
      <c r="AZ241" s="77"/>
      <c r="BA241" s="77"/>
      <c r="BB241" s="77"/>
      <c r="BC241" s="77"/>
      <c r="BD241" s="77"/>
      <c r="BE241" s="77"/>
      <c r="BF241" s="77"/>
      <c r="BG241" s="77"/>
      <c r="BH241" s="77"/>
    </row>
    <row r="242" spans="1:60" x14ac:dyDescent="0.25">
      <c r="A242" s="77"/>
      <c r="J242" s="77"/>
      <c r="K242" s="77"/>
      <c r="L242" s="77"/>
      <c r="M242" s="77"/>
      <c r="N242" s="77"/>
      <c r="O242" s="77"/>
      <c r="P242" s="77"/>
      <c r="Q242" s="77"/>
      <c r="R242" s="77"/>
      <c r="S242" s="77"/>
      <c r="T242" s="77"/>
      <c r="U242" s="77"/>
      <c r="V242" s="77"/>
      <c r="W242" s="77"/>
      <c r="X242" s="77"/>
      <c r="Y242" s="77"/>
      <c r="Z242" s="77"/>
      <c r="AA242" s="77"/>
      <c r="AB242" s="77"/>
      <c r="AC242" s="77"/>
      <c r="AD242" s="77"/>
      <c r="AE242" s="77"/>
      <c r="AF242" s="77"/>
      <c r="AG242" s="77"/>
      <c r="AH242" s="77"/>
      <c r="AI242" s="77"/>
      <c r="AJ242" s="77"/>
      <c r="AK242" s="77"/>
      <c r="AL242" s="77"/>
      <c r="AM242" s="77"/>
      <c r="AN242" s="77"/>
      <c r="AO242" s="77"/>
      <c r="AP242" s="77"/>
      <c r="AQ242" s="77"/>
      <c r="AR242" s="77"/>
      <c r="AS242" s="77"/>
      <c r="AT242" s="77"/>
      <c r="AU242" s="77"/>
      <c r="AV242" s="77"/>
      <c r="AW242" s="77"/>
      <c r="AX242" s="77"/>
      <c r="AY242" s="77"/>
      <c r="AZ242" s="77"/>
      <c r="BA242" s="77"/>
      <c r="BB242" s="77"/>
      <c r="BC242" s="77"/>
      <c r="BD242" s="77"/>
      <c r="BE242" s="77"/>
      <c r="BF242" s="77"/>
      <c r="BG242" s="77"/>
      <c r="BH242" s="77"/>
    </row>
    <row r="243" spans="1:60" x14ac:dyDescent="0.25">
      <c r="A243" s="77"/>
      <c r="J243" s="77"/>
      <c r="K243" s="77"/>
      <c r="L243" s="77"/>
      <c r="M243" s="77"/>
      <c r="N243" s="77"/>
      <c r="O243" s="77"/>
      <c r="P243" s="77"/>
      <c r="Q243" s="77"/>
      <c r="R243" s="77"/>
      <c r="S243" s="77"/>
      <c r="T243" s="77"/>
      <c r="U243" s="77"/>
      <c r="V243" s="77"/>
      <c r="W243" s="77"/>
      <c r="X243" s="77"/>
      <c r="Y243" s="77"/>
      <c r="Z243" s="77"/>
      <c r="AA243" s="77"/>
      <c r="AB243" s="77"/>
      <c r="AC243" s="77"/>
      <c r="AD243" s="77"/>
      <c r="AE243" s="77"/>
      <c r="AF243" s="77"/>
      <c r="AG243" s="77"/>
      <c r="AH243" s="77"/>
      <c r="AI243" s="77"/>
      <c r="AJ243" s="77"/>
      <c r="AK243" s="77"/>
      <c r="AL243" s="77"/>
      <c r="AM243" s="77"/>
      <c r="AN243" s="77"/>
      <c r="AO243" s="77"/>
      <c r="AP243" s="77"/>
      <c r="AQ243" s="77"/>
      <c r="AR243" s="77"/>
      <c r="AS243" s="77"/>
      <c r="AT243" s="77"/>
      <c r="AU243" s="77"/>
      <c r="AV243" s="77"/>
      <c r="AW243" s="77"/>
      <c r="AX243" s="77"/>
      <c r="AY243" s="77"/>
      <c r="AZ243" s="77"/>
      <c r="BA243" s="77"/>
      <c r="BB243" s="77"/>
      <c r="BC243" s="77"/>
      <c r="BD243" s="77"/>
      <c r="BE243" s="77"/>
      <c r="BF243" s="77"/>
      <c r="BG243" s="77"/>
      <c r="BH243" s="77"/>
    </row>
    <row r="244" spans="1:60" x14ac:dyDescent="0.25">
      <c r="A244" s="77"/>
      <c r="J244" s="77"/>
      <c r="K244" s="77"/>
      <c r="L244" s="77"/>
      <c r="M244" s="77"/>
      <c r="N244" s="77"/>
      <c r="O244" s="77"/>
      <c r="P244" s="77"/>
      <c r="Q244" s="77"/>
      <c r="R244" s="77"/>
      <c r="S244" s="77"/>
      <c r="T244" s="77"/>
      <c r="U244" s="77"/>
      <c r="V244" s="77"/>
      <c r="W244" s="77"/>
      <c r="X244" s="77"/>
      <c r="Y244" s="77"/>
      <c r="Z244" s="77"/>
      <c r="AA244" s="77"/>
      <c r="AB244" s="77"/>
      <c r="AC244" s="77"/>
      <c r="AD244" s="77"/>
      <c r="AE244" s="77"/>
      <c r="AF244" s="77"/>
      <c r="AG244" s="77"/>
      <c r="AH244" s="77"/>
      <c r="AI244" s="77"/>
      <c r="AJ244" s="77"/>
      <c r="AK244" s="77"/>
      <c r="AL244" s="77"/>
      <c r="AM244" s="77"/>
      <c r="AN244" s="77"/>
      <c r="AO244" s="77"/>
      <c r="AP244" s="77"/>
      <c r="AQ244" s="77"/>
      <c r="AR244" s="77"/>
      <c r="AS244" s="77"/>
      <c r="AT244" s="77"/>
      <c r="AU244" s="77"/>
      <c r="AV244" s="77"/>
      <c r="AW244" s="77"/>
      <c r="AX244" s="77"/>
      <c r="AY244" s="77"/>
      <c r="AZ244" s="77"/>
      <c r="BA244" s="77"/>
      <c r="BB244" s="77"/>
      <c r="BC244" s="77"/>
      <c r="BD244" s="77"/>
      <c r="BE244" s="77"/>
      <c r="BF244" s="77"/>
      <c r="BG244" s="77"/>
      <c r="BH244" s="77"/>
    </row>
    <row r="245" spans="1:60" x14ac:dyDescent="0.25">
      <c r="A245" s="77"/>
    </row>
    <row r="246" spans="1:60" x14ac:dyDescent="0.25">
      <c r="A246" s="77"/>
    </row>
    <row r="247" spans="1:60" x14ac:dyDescent="0.25">
      <c r="A247" s="77"/>
    </row>
    <row r="248" spans="1:60" x14ac:dyDescent="0.25">
      <c r="A248" s="77"/>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90" zoomScaleNormal="90" workbookViewId="0">
      <selection activeCell="B5" sqref="B5"/>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77"/>
      <c r="B1" s="448" t="s">
        <v>54</v>
      </c>
      <c r="C1" s="448"/>
      <c r="D1" s="448"/>
      <c r="E1" s="77"/>
      <c r="F1" s="77"/>
      <c r="G1" s="77"/>
      <c r="H1" s="77"/>
      <c r="I1" s="77"/>
      <c r="J1" s="77"/>
      <c r="K1" s="77"/>
      <c r="L1" s="77"/>
      <c r="M1" s="77"/>
      <c r="N1" s="77"/>
      <c r="O1" s="77"/>
      <c r="P1" s="77"/>
      <c r="Q1" s="77"/>
      <c r="R1" s="77"/>
      <c r="S1" s="77"/>
      <c r="T1" s="77"/>
      <c r="U1" s="77"/>
      <c r="V1" s="77"/>
      <c r="W1" s="77"/>
      <c r="X1" s="77"/>
      <c r="Y1" s="77"/>
      <c r="Z1" s="77"/>
      <c r="AA1" s="77"/>
      <c r="AB1" s="77"/>
      <c r="AC1" s="77"/>
      <c r="AD1" s="77"/>
      <c r="AE1" s="77"/>
    </row>
    <row r="2" spans="1:37"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row>
    <row r="3" spans="1:37" ht="25.5" x14ac:dyDescent="0.25">
      <c r="A3" s="77"/>
      <c r="B3" s="8"/>
      <c r="C3" s="9" t="s">
        <v>51</v>
      </c>
      <c r="D3" s="9" t="s">
        <v>4</v>
      </c>
      <c r="E3" s="77"/>
      <c r="F3" s="77"/>
      <c r="G3" s="77"/>
      <c r="H3" s="77"/>
      <c r="I3" s="77"/>
      <c r="J3" s="77"/>
      <c r="K3" s="77"/>
      <c r="L3" s="77"/>
      <c r="M3" s="77"/>
      <c r="N3" s="77"/>
      <c r="O3" s="77"/>
      <c r="P3" s="77"/>
      <c r="Q3" s="77"/>
      <c r="R3" s="77"/>
      <c r="S3" s="77"/>
      <c r="T3" s="77"/>
      <c r="U3" s="77"/>
      <c r="V3" s="77"/>
      <c r="W3" s="77"/>
      <c r="X3" s="77"/>
      <c r="Y3" s="77"/>
      <c r="Z3" s="77"/>
      <c r="AA3" s="77"/>
      <c r="AB3" s="77"/>
      <c r="AC3" s="77"/>
      <c r="AD3" s="77"/>
      <c r="AE3" s="77"/>
    </row>
    <row r="4" spans="1:37" ht="51" x14ac:dyDescent="0.25">
      <c r="A4" s="77"/>
      <c r="B4" s="10" t="s">
        <v>50</v>
      </c>
      <c r="C4" s="11" t="s">
        <v>86</v>
      </c>
      <c r="D4" s="12">
        <v>0.2</v>
      </c>
      <c r="E4" s="77"/>
      <c r="F4" s="77"/>
      <c r="G4" s="77"/>
      <c r="H4" s="77"/>
      <c r="I4" s="77"/>
      <c r="J4" s="77"/>
      <c r="K4" s="77"/>
      <c r="L4" s="77"/>
      <c r="M4" s="77"/>
      <c r="N4" s="77"/>
      <c r="O4" s="77"/>
      <c r="P4" s="77"/>
      <c r="Q4" s="77"/>
      <c r="R4" s="77"/>
      <c r="S4" s="77"/>
      <c r="T4" s="77"/>
      <c r="U4" s="77"/>
      <c r="V4" s="77"/>
      <c r="W4" s="77"/>
      <c r="X4" s="77"/>
      <c r="Y4" s="77"/>
      <c r="Z4" s="77"/>
      <c r="AA4" s="77"/>
      <c r="AB4" s="77"/>
      <c r="AC4" s="77"/>
      <c r="AD4" s="77"/>
      <c r="AE4" s="77"/>
    </row>
    <row r="5" spans="1:37" ht="51" x14ac:dyDescent="0.25">
      <c r="A5" s="77"/>
      <c r="B5" s="13" t="s">
        <v>52</v>
      </c>
      <c r="C5" s="14" t="s">
        <v>87</v>
      </c>
      <c r="D5" s="15">
        <v>0.4</v>
      </c>
      <c r="E5" s="77"/>
      <c r="F5" s="77"/>
      <c r="G5" s="77"/>
      <c r="H5" s="77"/>
      <c r="I5" s="77"/>
      <c r="J5" s="77"/>
      <c r="K5" s="77"/>
      <c r="L5" s="77"/>
      <c r="M5" s="77"/>
      <c r="N5" s="77"/>
      <c r="O5" s="77"/>
      <c r="P5" s="77"/>
      <c r="Q5" s="77"/>
      <c r="R5" s="77"/>
      <c r="S5" s="77"/>
      <c r="T5" s="77"/>
      <c r="U5" s="77"/>
      <c r="V5" s="77"/>
      <c r="W5" s="77"/>
      <c r="X5" s="77"/>
      <c r="Y5" s="77"/>
      <c r="Z5" s="77"/>
      <c r="AA5" s="77"/>
      <c r="AB5" s="77"/>
      <c r="AC5" s="77"/>
      <c r="AD5" s="77"/>
      <c r="AE5" s="77"/>
    </row>
    <row r="6" spans="1:37" ht="51" x14ac:dyDescent="0.25">
      <c r="A6" s="77"/>
      <c r="B6" s="16" t="s">
        <v>88</v>
      </c>
      <c r="C6" s="124" t="s">
        <v>274</v>
      </c>
      <c r="D6" s="15">
        <v>0.6</v>
      </c>
      <c r="E6" s="77"/>
      <c r="F6" s="77"/>
      <c r="G6" s="77"/>
      <c r="H6" s="77"/>
      <c r="I6" s="77"/>
      <c r="J6" s="77"/>
      <c r="K6" s="77"/>
      <c r="L6" s="77"/>
      <c r="M6" s="77"/>
      <c r="N6" s="77"/>
      <c r="O6" s="77"/>
      <c r="P6" s="77"/>
      <c r="Q6" s="77"/>
      <c r="R6" s="77"/>
      <c r="S6" s="77"/>
      <c r="T6" s="77"/>
      <c r="U6" s="77"/>
      <c r="V6" s="77"/>
      <c r="W6" s="77"/>
      <c r="X6" s="77"/>
      <c r="Y6" s="77"/>
      <c r="Z6" s="77"/>
      <c r="AA6" s="77"/>
      <c r="AB6" s="77"/>
      <c r="AC6" s="77"/>
      <c r="AD6" s="77"/>
      <c r="AE6" s="77"/>
    </row>
    <row r="7" spans="1:37" ht="76.5" x14ac:dyDescent="0.25">
      <c r="A7" s="77"/>
      <c r="B7" s="17" t="s">
        <v>6</v>
      </c>
      <c r="C7" s="124" t="s">
        <v>273</v>
      </c>
      <c r="D7" s="15">
        <v>0.8</v>
      </c>
      <c r="E7" s="77"/>
      <c r="F7" s="77"/>
      <c r="G7" s="77"/>
      <c r="H7" s="77"/>
      <c r="I7" s="77"/>
      <c r="J7" s="77"/>
      <c r="K7" s="77"/>
      <c r="L7" s="77"/>
      <c r="M7" s="77"/>
      <c r="N7" s="77"/>
      <c r="O7" s="77"/>
      <c r="P7" s="77"/>
      <c r="Q7" s="77"/>
      <c r="R7" s="77"/>
      <c r="S7" s="77"/>
      <c r="T7" s="77"/>
      <c r="U7" s="77"/>
      <c r="V7" s="77"/>
      <c r="W7" s="77"/>
      <c r="X7" s="77"/>
      <c r="Y7" s="77"/>
      <c r="Z7" s="77"/>
      <c r="AA7" s="77"/>
      <c r="AB7" s="77"/>
      <c r="AC7" s="77"/>
      <c r="AD7" s="77"/>
      <c r="AE7" s="77"/>
    </row>
    <row r="8" spans="1:37" ht="51" x14ac:dyDescent="0.25">
      <c r="A8" s="77"/>
      <c r="B8" s="18" t="s">
        <v>53</v>
      </c>
      <c r="C8" s="124" t="s">
        <v>275</v>
      </c>
      <c r="D8" s="15">
        <v>1</v>
      </c>
      <c r="E8" s="77"/>
      <c r="F8" s="77"/>
      <c r="G8" s="77"/>
      <c r="H8" s="77"/>
      <c r="I8" s="77"/>
      <c r="J8" s="77"/>
      <c r="K8" s="77"/>
      <c r="L8" s="77"/>
      <c r="M8" s="77"/>
      <c r="N8" s="77"/>
      <c r="O8" s="77"/>
      <c r="P8" s="77"/>
      <c r="Q8" s="77"/>
      <c r="R8" s="77"/>
      <c r="S8" s="77"/>
      <c r="T8" s="77"/>
      <c r="U8" s="77"/>
      <c r="V8" s="77"/>
      <c r="W8" s="77"/>
      <c r="X8" s="77"/>
      <c r="Y8" s="77"/>
      <c r="Z8" s="77"/>
      <c r="AA8" s="77"/>
      <c r="AB8" s="77"/>
      <c r="AC8" s="77"/>
      <c r="AD8" s="77"/>
      <c r="AE8" s="77"/>
    </row>
    <row r="9" spans="1:37" x14ac:dyDescent="0.25">
      <c r="A9" s="77"/>
      <c r="B9" s="86"/>
      <c r="C9" s="86"/>
      <c r="D9" s="86"/>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row>
    <row r="10" spans="1:37" ht="16.5" x14ac:dyDescent="0.25">
      <c r="A10" s="77"/>
      <c r="B10" s="87"/>
      <c r="C10" s="86"/>
      <c r="D10" s="86"/>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row>
    <row r="11" spans="1:37" x14ac:dyDescent="0.25">
      <c r="A11" s="77"/>
      <c r="B11" s="86"/>
      <c r="C11" s="86"/>
      <c r="D11" s="86"/>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row>
    <row r="12" spans="1:37" x14ac:dyDescent="0.25">
      <c r="A12" s="77"/>
      <c r="B12" s="86"/>
      <c r="C12" s="86"/>
      <c r="D12" s="86"/>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row>
    <row r="13" spans="1:37" x14ac:dyDescent="0.25">
      <c r="A13" s="77"/>
      <c r="B13" s="86"/>
      <c r="C13" s="86"/>
      <c r="D13" s="86"/>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row>
    <row r="14" spans="1:37" x14ac:dyDescent="0.25">
      <c r="A14" s="77"/>
      <c r="B14" s="86"/>
      <c r="C14" s="86"/>
      <c r="D14" s="86"/>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row>
    <row r="15" spans="1:37" x14ac:dyDescent="0.25">
      <c r="A15" s="77"/>
      <c r="B15" s="86"/>
      <c r="C15" s="86"/>
      <c r="D15" s="86"/>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row>
    <row r="16" spans="1:37" x14ac:dyDescent="0.25">
      <c r="A16" s="77"/>
      <c r="B16" s="86"/>
      <c r="C16" s="86"/>
      <c r="D16" s="86"/>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row>
    <row r="17" spans="1:37" x14ac:dyDescent="0.25">
      <c r="A17" s="77"/>
      <c r="B17" s="86"/>
      <c r="C17" s="86"/>
      <c r="D17" s="86"/>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row>
    <row r="18" spans="1:37" x14ac:dyDescent="0.25">
      <c r="A18" s="77"/>
      <c r="B18" s="86"/>
      <c r="C18" s="86"/>
      <c r="D18" s="86"/>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row>
    <row r="19" spans="1:37" x14ac:dyDescent="0.25">
      <c r="A19" s="77"/>
      <c r="B19" s="77"/>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row>
    <row r="20" spans="1:37" x14ac:dyDescent="0.25">
      <c r="A20" s="77"/>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row>
    <row r="21" spans="1:37" x14ac:dyDescent="0.25">
      <c r="A21" s="77"/>
      <c r="B21" s="77"/>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row>
    <row r="22" spans="1:37" x14ac:dyDescent="0.25">
      <c r="A22" s="77"/>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row>
    <row r="23" spans="1:37" x14ac:dyDescent="0.25">
      <c r="A23" s="77"/>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row>
    <row r="24" spans="1:37" x14ac:dyDescent="0.25">
      <c r="A24" s="77"/>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row>
    <row r="25" spans="1:37" x14ac:dyDescent="0.25">
      <c r="A25" s="77"/>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row>
    <row r="26" spans="1:37" x14ac:dyDescent="0.25">
      <c r="A26" s="77"/>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row>
    <row r="27" spans="1:37" x14ac:dyDescent="0.25">
      <c r="A27" s="77"/>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row>
    <row r="28" spans="1:37" x14ac:dyDescent="0.25">
      <c r="A28" s="77"/>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row>
    <row r="29" spans="1:37" x14ac:dyDescent="0.25">
      <c r="A29" s="77"/>
      <c r="B29" s="77"/>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row>
    <row r="30" spans="1:37" x14ac:dyDescent="0.25">
      <c r="A30" s="77"/>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row>
    <row r="31" spans="1:37" x14ac:dyDescent="0.25">
      <c r="A31" s="77"/>
      <c r="B31" s="77"/>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row>
    <row r="32" spans="1:37" x14ac:dyDescent="0.25">
      <c r="A32" s="77"/>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row>
    <row r="33" spans="1:31" x14ac:dyDescent="0.25">
      <c r="A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row>
    <row r="34" spans="1:31" x14ac:dyDescent="0.25">
      <c r="A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row>
    <row r="35" spans="1:31" x14ac:dyDescent="0.25">
      <c r="A35" s="77"/>
    </row>
    <row r="36" spans="1:31" x14ac:dyDescent="0.25">
      <c r="A36" s="77"/>
    </row>
    <row r="37" spans="1:31" x14ac:dyDescent="0.25">
      <c r="A37" s="77"/>
    </row>
    <row r="38" spans="1:31" x14ac:dyDescent="0.25">
      <c r="A38" s="77"/>
    </row>
    <row r="39" spans="1:31" x14ac:dyDescent="0.25">
      <c r="A39" s="77"/>
    </row>
    <row r="40" spans="1:31" x14ac:dyDescent="0.25">
      <c r="A40" s="77"/>
    </row>
    <row r="41" spans="1:31" x14ac:dyDescent="0.25">
      <c r="A41" s="77"/>
    </row>
    <row r="42" spans="1:31" x14ac:dyDescent="0.25">
      <c r="A42" s="77"/>
    </row>
    <row r="43" spans="1:31" x14ac:dyDescent="0.25">
      <c r="A43" s="77"/>
    </row>
    <row r="44" spans="1:31" x14ac:dyDescent="0.25">
      <c r="A44" s="77"/>
    </row>
    <row r="45" spans="1:31" x14ac:dyDescent="0.25">
      <c r="A45" s="77"/>
    </row>
    <row r="46" spans="1:31" x14ac:dyDescent="0.25">
      <c r="A46" s="77"/>
    </row>
    <row r="47" spans="1:31" x14ac:dyDescent="0.25">
      <c r="A47" s="77"/>
    </row>
    <row r="48" spans="1:31" x14ac:dyDescent="0.25">
      <c r="A48" s="77"/>
    </row>
    <row r="49" spans="1:1" x14ac:dyDescent="0.25">
      <c r="A49" s="77"/>
    </row>
    <row r="50" spans="1:1" x14ac:dyDescent="0.25">
      <c r="A50" s="77"/>
    </row>
    <row r="51" spans="1:1" x14ac:dyDescent="0.25">
      <c r="A51" s="77"/>
    </row>
    <row r="52" spans="1:1" x14ac:dyDescent="0.25">
      <c r="A52" s="77"/>
    </row>
    <row r="53" spans="1:1" x14ac:dyDescent="0.25">
      <c r="A53" s="77"/>
    </row>
    <row r="54" spans="1:1" x14ac:dyDescent="0.25">
      <c r="A54" s="77"/>
    </row>
    <row r="55" spans="1:1" x14ac:dyDescent="0.25">
      <c r="A55" s="77"/>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activeCell="C9" sqref="C9"/>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77"/>
      <c r="B1" s="449" t="s">
        <v>62</v>
      </c>
      <c r="C1" s="449"/>
      <c r="D1" s="449"/>
      <c r="E1" s="77"/>
      <c r="F1" s="77"/>
      <c r="G1" s="77"/>
      <c r="H1" s="77"/>
      <c r="I1" s="77"/>
      <c r="J1" s="77"/>
      <c r="K1" s="77"/>
      <c r="L1" s="77"/>
      <c r="M1" s="77"/>
      <c r="N1" s="77"/>
      <c r="O1" s="77"/>
      <c r="P1" s="77"/>
      <c r="Q1" s="77"/>
      <c r="R1" s="77"/>
      <c r="S1" s="77"/>
      <c r="T1" s="77"/>
      <c r="U1" s="77"/>
    </row>
    <row r="2" spans="1:21" x14ac:dyDescent="0.25">
      <c r="A2" s="77"/>
      <c r="B2" s="77"/>
      <c r="C2" s="77"/>
      <c r="D2" s="77"/>
      <c r="E2" s="77"/>
      <c r="F2" s="77"/>
      <c r="G2" s="77"/>
      <c r="H2" s="77"/>
      <c r="I2" s="77"/>
      <c r="J2" s="77"/>
      <c r="K2" s="77"/>
      <c r="L2" s="77"/>
      <c r="M2" s="77"/>
      <c r="N2" s="77"/>
      <c r="O2" s="77"/>
      <c r="P2" s="77"/>
      <c r="Q2" s="77"/>
      <c r="R2" s="77"/>
      <c r="S2" s="77"/>
      <c r="T2" s="77"/>
      <c r="U2" s="77"/>
    </row>
    <row r="3" spans="1:21" ht="30" x14ac:dyDescent="0.25">
      <c r="A3" s="77"/>
      <c r="B3" s="83"/>
      <c r="C3" s="29" t="s">
        <v>55</v>
      </c>
      <c r="D3" s="29" t="s">
        <v>56</v>
      </c>
      <c r="E3" s="77"/>
      <c r="F3" s="77"/>
      <c r="G3" s="77"/>
      <c r="H3" s="77"/>
      <c r="I3" s="77"/>
      <c r="J3" s="77"/>
      <c r="K3" s="77"/>
      <c r="L3" s="77"/>
      <c r="M3" s="77"/>
      <c r="N3" s="77"/>
      <c r="O3" s="77"/>
      <c r="P3" s="77"/>
      <c r="Q3" s="77"/>
      <c r="R3" s="77"/>
      <c r="S3" s="77"/>
      <c r="T3" s="77"/>
      <c r="U3" s="77"/>
    </row>
    <row r="4" spans="1:21" ht="33.75" x14ac:dyDescent="0.25">
      <c r="A4" s="82" t="s">
        <v>67</v>
      </c>
      <c r="B4" s="32" t="s">
        <v>85</v>
      </c>
      <c r="C4" s="37" t="s">
        <v>134</v>
      </c>
      <c r="D4" s="30" t="s">
        <v>81</v>
      </c>
      <c r="E4" s="77"/>
      <c r="F4" s="77"/>
      <c r="G4" s="77"/>
      <c r="H4" s="77"/>
      <c r="I4" s="77"/>
      <c r="J4" s="77"/>
      <c r="K4" s="77"/>
      <c r="L4" s="77"/>
      <c r="M4" s="77"/>
      <c r="N4" s="77"/>
      <c r="O4" s="77"/>
      <c r="P4" s="77"/>
      <c r="Q4" s="77"/>
      <c r="R4" s="77"/>
      <c r="S4" s="77"/>
      <c r="T4" s="77"/>
      <c r="U4" s="77"/>
    </row>
    <row r="5" spans="1:21" ht="67.5" x14ac:dyDescent="0.25">
      <c r="A5" s="82" t="s">
        <v>68</v>
      </c>
      <c r="B5" s="33" t="s">
        <v>58</v>
      </c>
      <c r="C5" s="38" t="s">
        <v>77</v>
      </c>
      <c r="D5" s="31" t="s">
        <v>82</v>
      </c>
      <c r="E5" s="77"/>
      <c r="F5" s="77"/>
      <c r="G5" s="77"/>
      <c r="H5" s="77"/>
      <c r="I5" s="77"/>
      <c r="J5" s="77"/>
      <c r="K5" s="77"/>
      <c r="L5" s="77"/>
      <c r="M5" s="77"/>
      <c r="N5" s="77"/>
      <c r="O5" s="77"/>
      <c r="P5" s="77"/>
      <c r="Q5" s="77"/>
      <c r="R5" s="77"/>
      <c r="S5" s="77"/>
      <c r="T5" s="77"/>
      <c r="U5" s="77"/>
    </row>
    <row r="6" spans="1:21" ht="67.5" x14ac:dyDescent="0.25">
      <c r="A6" s="82" t="s">
        <v>65</v>
      </c>
      <c r="B6" s="34" t="s">
        <v>59</v>
      </c>
      <c r="C6" s="38" t="s">
        <v>78</v>
      </c>
      <c r="D6" s="31" t="s">
        <v>84</v>
      </c>
      <c r="E6" s="77"/>
      <c r="F6" s="77"/>
      <c r="G6" s="77"/>
      <c r="H6" s="77"/>
      <c r="I6" s="77"/>
      <c r="J6" s="77"/>
      <c r="K6" s="77"/>
      <c r="L6" s="77"/>
      <c r="M6" s="77"/>
      <c r="N6" s="77"/>
      <c r="O6" s="77"/>
      <c r="P6" s="77"/>
      <c r="Q6" s="77"/>
      <c r="R6" s="77"/>
      <c r="S6" s="77"/>
      <c r="T6" s="77"/>
      <c r="U6" s="77"/>
    </row>
    <row r="7" spans="1:21" ht="101.25" x14ac:dyDescent="0.25">
      <c r="A7" s="82" t="s">
        <v>7</v>
      </c>
      <c r="B7" s="35" t="s">
        <v>60</v>
      </c>
      <c r="C7" s="216" t="s">
        <v>79</v>
      </c>
      <c r="D7" s="31" t="s">
        <v>83</v>
      </c>
      <c r="E7" s="77"/>
      <c r="F7" s="77"/>
      <c r="G7" s="77"/>
      <c r="H7" s="77"/>
      <c r="I7" s="77"/>
      <c r="J7" s="77"/>
      <c r="K7" s="77"/>
      <c r="L7" s="77"/>
      <c r="M7" s="77"/>
      <c r="N7" s="77"/>
      <c r="O7" s="77"/>
      <c r="P7" s="77"/>
      <c r="Q7" s="77"/>
      <c r="R7" s="77"/>
      <c r="S7" s="77"/>
      <c r="T7" s="77"/>
      <c r="U7" s="77"/>
    </row>
    <row r="8" spans="1:21" ht="67.5" x14ac:dyDescent="0.25">
      <c r="A8" s="82" t="s">
        <v>69</v>
      </c>
      <c r="B8" s="36" t="s">
        <v>61</v>
      </c>
      <c r="C8" s="216" t="s">
        <v>80</v>
      </c>
      <c r="D8" s="31" t="s">
        <v>99</v>
      </c>
      <c r="E8" s="77"/>
      <c r="F8" s="77"/>
      <c r="G8" s="77"/>
      <c r="H8" s="77"/>
      <c r="I8" s="77"/>
      <c r="J8" s="77"/>
      <c r="K8" s="77"/>
      <c r="L8" s="77"/>
      <c r="M8" s="77"/>
      <c r="N8" s="77"/>
      <c r="O8" s="77"/>
      <c r="P8" s="77"/>
      <c r="Q8" s="77"/>
      <c r="R8" s="77"/>
      <c r="S8" s="77"/>
      <c r="T8" s="77"/>
      <c r="U8" s="77"/>
    </row>
    <row r="9" spans="1:21" ht="20.25" x14ac:dyDescent="0.25">
      <c r="A9" s="82"/>
      <c r="B9" s="82"/>
      <c r="C9" s="84"/>
      <c r="D9" s="84"/>
      <c r="E9" s="77"/>
      <c r="F9" s="77"/>
      <c r="G9" s="77"/>
      <c r="H9" s="77"/>
      <c r="I9" s="77"/>
      <c r="J9" s="77"/>
      <c r="K9" s="77"/>
      <c r="L9" s="77"/>
      <c r="M9" s="77"/>
      <c r="N9" s="77"/>
      <c r="O9" s="77"/>
      <c r="P9" s="77"/>
      <c r="Q9" s="77"/>
      <c r="R9" s="77"/>
      <c r="S9" s="77"/>
      <c r="T9" s="77"/>
      <c r="U9" s="77"/>
    </row>
    <row r="10" spans="1:21" ht="16.5" x14ac:dyDescent="0.25">
      <c r="A10" s="82"/>
      <c r="B10" s="85"/>
      <c r="C10" s="85"/>
      <c r="D10" s="85"/>
      <c r="E10" s="77"/>
      <c r="F10" s="77"/>
      <c r="G10" s="77"/>
      <c r="H10" s="77"/>
      <c r="I10" s="77"/>
      <c r="J10" s="77"/>
      <c r="K10" s="77"/>
      <c r="L10" s="77"/>
      <c r="M10" s="77"/>
      <c r="N10" s="77"/>
      <c r="O10" s="77"/>
      <c r="P10" s="77"/>
      <c r="Q10" s="77"/>
      <c r="R10" s="77"/>
      <c r="S10" s="77"/>
      <c r="T10" s="77"/>
      <c r="U10" s="77"/>
    </row>
    <row r="11" spans="1:21" x14ac:dyDescent="0.25">
      <c r="A11" s="82"/>
      <c r="B11" s="82" t="s">
        <v>75</v>
      </c>
      <c r="C11" s="82" t="s">
        <v>122</v>
      </c>
      <c r="D11" s="82" t="s">
        <v>129</v>
      </c>
      <c r="E11" s="77"/>
      <c r="F11" s="77"/>
      <c r="G11" s="77"/>
      <c r="H11" s="77"/>
      <c r="I11" s="77"/>
      <c r="J11" s="77"/>
      <c r="K11" s="77"/>
      <c r="L11" s="77"/>
      <c r="M11" s="77"/>
      <c r="N11" s="77"/>
      <c r="O11" s="77"/>
      <c r="P11" s="77"/>
      <c r="Q11" s="77"/>
      <c r="R11" s="77"/>
      <c r="S11" s="77"/>
      <c r="T11" s="77"/>
      <c r="U11" s="77"/>
    </row>
    <row r="12" spans="1:21" x14ac:dyDescent="0.25">
      <c r="A12" s="82"/>
      <c r="B12" s="82" t="s">
        <v>73</v>
      </c>
      <c r="C12" s="82" t="s">
        <v>126</v>
      </c>
      <c r="D12" s="82" t="s">
        <v>130</v>
      </c>
      <c r="E12" s="77"/>
      <c r="F12" s="77"/>
      <c r="G12" s="77"/>
      <c r="H12" s="77"/>
      <c r="I12" s="77"/>
      <c r="J12" s="77"/>
      <c r="K12" s="77"/>
      <c r="L12" s="77"/>
      <c r="M12" s="77"/>
      <c r="N12" s="77"/>
      <c r="O12" s="77"/>
      <c r="P12" s="77"/>
      <c r="Q12" s="77"/>
      <c r="R12" s="77"/>
      <c r="S12" s="77"/>
      <c r="T12" s="77"/>
      <c r="U12" s="77"/>
    </row>
    <row r="13" spans="1:21" x14ac:dyDescent="0.25">
      <c r="A13" s="82"/>
      <c r="B13" s="82"/>
      <c r="C13" s="82" t="s">
        <v>125</v>
      </c>
      <c r="D13" s="82" t="s">
        <v>131</v>
      </c>
      <c r="E13" s="77"/>
      <c r="F13" s="77"/>
      <c r="G13" s="77"/>
      <c r="H13" s="77"/>
      <c r="I13" s="77"/>
      <c r="J13" s="77"/>
      <c r="K13" s="77"/>
      <c r="L13" s="77"/>
      <c r="M13" s="77"/>
      <c r="N13" s="77"/>
      <c r="O13" s="77"/>
      <c r="P13" s="77"/>
      <c r="Q13" s="77"/>
      <c r="R13" s="77"/>
      <c r="S13" s="77"/>
      <c r="T13" s="77"/>
      <c r="U13" s="77"/>
    </row>
    <row r="14" spans="1:21" x14ac:dyDescent="0.25">
      <c r="A14" s="82"/>
      <c r="B14" s="82"/>
      <c r="C14" s="82" t="s">
        <v>127</v>
      </c>
      <c r="D14" s="82" t="s">
        <v>132</v>
      </c>
      <c r="E14" s="77"/>
      <c r="F14" s="77"/>
      <c r="G14" s="77"/>
      <c r="H14" s="77"/>
      <c r="I14" s="77"/>
      <c r="J14" s="77"/>
      <c r="K14" s="77"/>
      <c r="L14" s="77"/>
      <c r="M14" s="77"/>
      <c r="N14" s="77"/>
      <c r="O14" s="77"/>
      <c r="P14" s="77"/>
      <c r="Q14" s="77"/>
      <c r="R14" s="77"/>
      <c r="S14" s="77"/>
      <c r="T14" s="77"/>
      <c r="U14" s="77"/>
    </row>
    <row r="15" spans="1:21" x14ac:dyDescent="0.25">
      <c r="A15" s="82"/>
      <c r="B15" s="82"/>
      <c r="C15" s="82" t="s">
        <v>128</v>
      </c>
      <c r="D15" s="82" t="s">
        <v>133</v>
      </c>
      <c r="E15" s="77"/>
      <c r="F15" s="77"/>
      <c r="G15" s="77"/>
      <c r="H15" s="77"/>
      <c r="I15" s="77"/>
      <c r="J15" s="77"/>
      <c r="K15" s="77"/>
      <c r="L15" s="77"/>
      <c r="M15" s="77"/>
      <c r="N15" s="77"/>
      <c r="O15" s="77"/>
      <c r="P15" s="77"/>
      <c r="Q15" s="77"/>
      <c r="R15" s="77"/>
      <c r="S15" s="77"/>
      <c r="T15" s="77"/>
      <c r="U15" s="77"/>
    </row>
    <row r="16" spans="1:21" x14ac:dyDescent="0.25">
      <c r="A16" s="82"/>
      <c r="B16" s="82"/>
      <c r="C16" s="82"/>
      <c r="D16" s="82"/>
      <c r="E16" s="77"/>
      <c r="F16" s="77"/>
      <c r="G16" s="77"/>
      <c r="H16" s="77"/>
      <c r="I16" s="77"/>
      <c r="J16" s="77"/>
      <c r="K16" s="77"/>
      <c r="L16" s="77"/>
      <c r="M16" s="77"/>
      <c r="N16" s="77"/>
      <c r="O16" s="77"/>
    </row>
    <row r="17" spans="1:15" x14ac:dyDescent="0.25">
      <c r="A17" s="82"/>
      <c r="B17" s="82"/>
      <c r="C17" s="82"/>
      <c r="D17" s="82"/>
      <c r="E17" s="77"/>
      <c r="F17" s="77"/>
      <c r="G17" s="77"/>
      <c r="H17" s="77"/>
      <c r="I17" s="77"/>
      <c r="J17" s="77"/>
      <c r="K17" s="77"/>
      <c r="L17" s="77"/>
      <c r="M17" s="77"/>
      <c r="N17" s="77"/>
      <c r="O17" s="77"/>
    </row>
    <row r="18" spans="1:15" x14ac:dyDescent="0.25">
      <c r="A18" s="82"/>
      <c r="B18" s="86"/>
      <c r="C18" s="86"/>
      <c r="D18" s="86"/>
      <c r="E18" s="77"/>
      <c r="F18" s="77"/>
      <c r="G18" s="77"/>
      <c r="H18" s="77"/>
      <c r="I18" s="77"/>
      <c r="J18" s="77"/>
      <c r="K18" s="77"/>
      <c r="L18" s="77"/>
      <c r="M18" s="77"/>
      <c r="N18" s="77"/>
      <c r="O18" s="77"/>
    </row>
    <row r="19" spans="1:15" x14ac:dyDescent="0.25">
      <c r="A19" s="82"/>
      <c r="B19" s="86"/>
      <c r="C19" s="86"/>
      <c r="D19" s="86"/>
      <c r="E19" s="77"/>
      <c r="F19" s="77"/>
      <c r="G19" s="77"/>
      <c r="H19" s="77"/>
      <c r="I19" s="77"/>
      <c r="J19" s="77"/>
      <c r="K19" s="77"/>
      <c r="L19" s="77"/>
      <c r="M19" s="77"/>
      <c r="N19" s="77"/>
      <c r="O19" s="77"/>
    </row>
    <row r="20" spans="1:15" x14ac:dyDescent="0.25">
      <c r="A20" s="82"/>
      <c r="B20" s="86"/>
      <c r="C20" s="86"/>
      <c r="D20" s="86"/>
      <c r="E20" s="77"/>
      <c r="F20" s="77"/>
      <c r="G20" s="77"/>
      <c r="H20" s="77"/>
      <c r="I20" s="77"/>
      <c r="J20" s="77"/>
      <c r="K20" s="77"/>
      <c r="L20" s="77"/>
      <c r="M20" s="77"/>
      <c r="N20" s="77"/>
      <c r="O20" s="77"/>
    </row>
    <row r="21" spans="1:15" x14ac:dyDescent="0.25">
      <c r="A21" s="82"/>
      <c r="B21" s="86"/>
      <c r="C21" s="86"/>
      <c r="D21" s="86"/>
      <c r="E21" s="77"/>
      <c r="F21" s="77"/>
      <c r="G21" s="77"/>
      <c r="H21" s="77"/>
      <c r="I21" s="77"/>
      <c r="J21" s="77"/>
      <c r="K21" s="77"/>
      <c r="L21" s="77"/>
      <c r="M21" s="77"/>
      <c r="N21" s="77"/>
      <c r="O21" s="77"/>
    </row>
    <row r="22" spans="1:15" ht="20.25" x14ac:dyDescent="0.25">
      <c r="A22" s="82"/>
      <c r="B22" s="82"/>
      <c r="C22" s="84"/>
      <c r="D22" s="84"/>
      <c r="E22" s="77"/>
      <c r="F22" s="77"/>
      <c r="G22" s="77"/>
      <c r="H22" s="77"/>
      <c r="I22" s="77"/>
      <c r="J22" s="77"/>
      <c r="K22" s="77"/>
      <c r="L22" s="77"/>
      <c r="M22" s="77"/>
      <c r="N22" s="77"/>
      <c r="O22" s="77"/>
    </row>
    <row r="23" spans="1:15" ht="20.25" x14ac:dyDescent="0.25">
      <c r="A23" s="82"/>
      <c r="B23" s="82"/>
      <c r="C23" s="84"/>
      <c r="D23" s="84"/>
      <c r="E23" s="77"/>
      <c r="F23" s="77"/>
      <c r="G23" s="77"/>
      <c r="H23" s="77"/>
      <c r="I23" s="77"/>
      <c r="J23" s="77"/>
      <c r="K23" s="77"/>
      <c r="L23" s="77"/>
      <c r="M23" s="77"/>
      <c r="N23" s="77"/>
      <c r="O23" s="77"/>
    </row>
    <row r="24" spans="1:15" ht="20.25" x14ac:dyDescent="0.25">
      <c r="A24" s="82"/>
      <c r="B24" s="82"/>
      <c r="C24" s="84"/>
      <c r="D24" s="84"/>
      <c r="E24" s="77"/>
      <c r="F24" s="77"/>
      <c r="G24" s="77"/>
      <c r="H24" s="77"/>
      <c r="I24" s="77"/>
      <c r="J24" s="77"/>
      <c r="K24" s="77"/>
      <c r="L24" s="77"/>
      <c r="M24" s="77"/>
      <c r="N24" s="77"/>
      <c r="O24" s="77"/>
    </row>
    <row r="25" spans="1:15" ht="20.25" x14ac:dyDescent="0.25">
      <c r="A25" s="82"/>
      <c r="B25" s="82"/>
      <c r="C25" s="84"/>
      <c r="D25" s="84"/>
      <c r="E25" s="77"/>
      <c r="F25" s="77"/>
      <c r="G25" s="77"/>
      <c r="H25" s="77"/>
      <c r="I25" s="77"/>
      <c r="J25" s="77"/>
      <c r="K25" s="77"/>
      <c r="L25" s="77"/>
      <c r="M25" s="77"/>
      <c r="N25" s="77"/>
      <c r="O25" s="77"/>
    </row>
    <row r="26" spans="1:15" ht="20.25" x14ac:dyDescent="0.25">
      <c r="A26" s="82"/>
      <c r="B26" s="82"/>
      <c r="C26" s="84"/>
      <c r="D26" s="84"/>
      <c r="E26" s="77"/>
      <c r="F26" s="77"/>
      <c r="G26" s="77"/>
      <c r="H26" s="77"/>
      <c r="I26" s="77"/>
      <c r="J26" s="77"/>
      <c r="K26" s="77"/>
      <c r="L26" s="77"/>
      <c r="M26" s="77"/>
      <c r="N26" s="77"/>
      <c r="O26" s="77"/>
    </row>
    <row r="27" spans="1:15" ht="20.25" x14ac:dyDescent="0.25">
      <c r="A27" s="82"/>
      <c r="B27" s="82"/>
      <c r="C27" s="84"/>
      <c r="D27" s="84"/>
      <c r="E27" s="77"/>
      <c r="F27" s="77"/>
      <c r="G27" s="77"/>
      <c r="H27" s="77"/>
      <c r="I27" s="77"/>
      <c r="J27" s="77"/>
      <c r="K27" s="77"/>
      <c r="L27" s="77"/>
      <c r="M27" s="77"/>
      <c r="N27" s="77"/>
      <c r="O27" s="77"/>
    </row>
    <row r="28" spans="1:15" ht="20.25" x14ac:dyDescent="0.25">
      <c r="A28" s="82"/>
      <c r="B28" s="82"/>
      <c r="C28" s="84"/>
      <c r="D28" s="84"/>
      <c r="E28" s="77"/>
      <c r="F28" s="77"/>
      <c r="G28" s="77"/>
      <c r="H28" s="77"/>
      <c r="I28" s="77"/>
      <c r="J28" s="77"/>
      <c r="K28" s="77"/>
      <c r="L28" s="77"/>
      <c r="M28" s="77"/>
      <c r="N28" s="77"/>
      <c r="O28" s="77"/>
    </row>
    <row r="29" spans="1:15" ht="20.25" x14ac:dyDescent="0.25">
      <c r="A29" s="82"/>
      <c r="B29" s="82"/>
      <c r="C29" s="84"/>
      <c r="D29" s="84"/>
      <c r="E29" s="77"/>
      <c r="F29" s="77"/>
      <c r="G29" s="77"/>
      <c r="H29" s="77"/>
      <c r="I29" s="77"/>
      <c r="J29" s="77"/>
      <c r="K29" s="77"/>
      <c r="L29" s="77"/>
      <c r="M29" s="77"/>
      <c r="N29" s="77"/>
      <c r="O29" s="77"/>
    </row>
    <row r="30" spans="1:15" ht="20.25" x14ac:dyDescent="0.25">
      <c r="A30" s="82"/>
      <c r="B30" s="82"/>
      <c r="C30" s="84"/>
      <c r="D30" s="84"/>
      <c r="E30" s="77"/>
      <c r="F30" s="77"/>
      <c r="G30" s="77"/>
      <c r="H30" s="77"/>
      <c r="I30" s="77"/>
      <c r="J30" s="77"/>
      <c r="K30" s="77"/>
      <c r="L30" s="77"/>
      <c r="M30" s="77"/>
      <c r="N30" s="77"/>
      <c r="O30" s="77"/>
    </row>
    <row r="31" spans="1:15" ht="20.25" x14ac:dyDescent="0.25">
      <c r="A31" s="82"/>
      <c r="B31" s="82"/>
      <c r="C31" s="84"/>
      <c r="D31" s="84"/>
      <c r="E31" s="77"/>
      <c r="F31" s="77"/>
      <c r="G31" s="77"/>
      <c r="H31" s="77"/>
      <c r="I31" s="77"/>
      <c r="J31" s="77"/>
      <c r="K31" s="77"/>
      <c r="L31" s="77"/>
      <c r="M31" s="77"/>
      <c r="N31" s="77"/>
      <c r="O31" s="77"/>
    </row>
    <row r="32" spans="1:15" ht="20.25" x14ac:dyDescent="0.25">
      <c r="A32" s="82"/>
      <c r="B32" s="82"/>
      <c r="C32" s="84"/>
      <c r="D32" s="84"/>
      <c r="E32" s="77"/>
      <c r="F32" s="77"/>
      <c r="G32" s="77"/>
      <c r="H32" s="77"/>
      <c r="I32" s="77"/>
      <c r="J32" s="77"/>
      <c r="K32" s="77"/>
      <c r="L32" s="77"/>
      <c r="M32" s="77"/>
      <c r="N32" s="77"/>
      <c r="O32" s="77"/>
    </row>
    <row r="33" spans="1:15" ht="20.25" x14ac:dyDescent="0.25">
      <c r="A33" s="82"/>
      <c r="B33" s="82"/>
      <c r="C33" s="84"/>
      <c r="D33" s="84"/>
      <c r="E33" s="77"/>
      <c r="F33" s="77"/>
      <c r="G33" s="77"/>
      <c r="H33" s="77"/>
      <c r="I33" s="77"/>
      <c r="J33" s="77"/>
      <c r="K33" s="77"/>
      <c r="L33" s="77"/>
      <c r="M33" s="77"/>
      <c r="N33" s="77"/>
      <c r="O33" s="77"/>
    </row>
    <row r="34" spans="1:15" ht="20.25" x14ac:dyDescent="0.25">
      <c r="A34" s="82"/>
      <c r="B34" s="82"/>
      <c r="C34" s="84"/>
      <c r="D34" s="84"/>
      <c r="E34" s="77"/>
      <c r="F34" s="77"/>
      <c r="G34" s="77"/>
      <c r="H34" s="77"/>
      <c r="I34" s="77"/>
      <c r="J34" s="77"/>
      <c r="K34" s="77"/>
      <c r="L34" s="77"/>
      <c r="M34" s="77"/>
      <c r="N34" s="77"/>
      <c r="O34" s="77"/>
    </row>
    <row r="35" spans="1:15" ht="20.25" x14ac:dyDescent="0.25">
      <c r="A35" s="82"/>
      <c r="B35" s="82"/>
      <c r="C35" s="84"/>
      <c r="D35" s="84"/>
      <c r="E35" s="77"/>
      <c r="F35" s="77"/>
      <c r="G35" s="77"/>
      <c r="H35" s="77"/>
      <c r="I35" s="77"/>
      <c r="J35" s="77"/>
      <c r="K35" s="77"/>
      <c r="L35" s="77"/>
      <c r="M35" s="77"/>
      <c r="N35" s="77"/>
      <c r="O35" s="77"/>
    </row>
    <row r="36" spans="1:15" ht="20.25" x14ac:dyDescent="0.25">
      <c r="A36" s="82"/>
      <c r="B36" s="82"/>
      <c r="C36" s="84"/>
      <c r="D36" s="84"/>
      <c r="E36" s="77"/>
      <c r="F36" s="77"/>
      <c r="G36" s="77"/>
      <c r="H36" s="77"/>
      <c r="I36" s="77"/>
      <c r="J36" s="77"/>
      <c r="K36" s="77"/>
      <c r="L36" s="77"/>
      <c r="M36" s="77"/>
      <c r="N36" s="77"/>
      <c r="O36" s="77"/>
    </row>
    <row r="37" spans="1:15" ht="20.25" x14ac:dyDescent="0.25">
      <c r="A37" s="82"/>
      <c r="B37" s="82"/>
      <c r="C37" s="84"/>
      <c r="D37" s="84"/>
      <c r="E37" s="77"/>
      <c r="F37" s="77"/>
      <c r="G37" s="77"/>
      <c r="H37" s="77"/>
      <c r="I37" s="77"/>
      <c r="J37" s="77"/>
      <c r="K37" s="77"/>
      <c r="L37" s="77"/>
      <c r="M37" s="77"/>
      <c r="N37" s="77"/>
      <c r="O37" s="77"/>
    </row>
    <row r="38" spans="1:15" ht="20.25" x14ac:dyDescent="0.25">
      <c r="A38" s="82"/>
      <c r="B38" s="82"/>
      <c r="C38" s="84"/>
      <c r="D38" s="84"/>
      <c r="E38" s="77"/>
      <c r="F38" s="77"/>
      <c r="G38" s="77"/>
      <c r="H38" s="77"/>
      <c r="I38" s="77"/>
      <c r="J38" s="77"/>
      <c r="K38" s="77"/>
      <c r="L38" s="77"/>
      <c r="M38" s="77"/>
      <c r="N38" s="77"/>
      <c r="O38" s="77"/>
    </row>
    <row r="39" spans="1:15" ht="20.25" x14ac:dyDescent="0.25">
      <c r="A39" s="82"/>
      <c r="B39" s="82"/>
      <c r="C39" s="84"/>
      <c r="D39" s="84"/>
      <c r="E39" s="77"/>
      <c r="F39" s="77"/>
      <c r="G39" s="77"/>
      <c r="H39" s="77"/>
      <c r="I39" s="77"/>
      <c r="J39" s="77"/>
      <c r="K39" s="77"/>
      <c r="L39" s="77"/>
      <c r="M39" s="77"/>
      <c r="N39" s="77"/>
      <c r="O39" s="77"/>
    </row>
    <row r="40" spans="1:15" ht="20.25" x14ac:dyDescent="0.25">
      <c r="A40" s="82"/>
      <c r="B40" s="82"/>
      <c r="C40" s="84"/>
      <c r="D40" s="84"/>
      <c r="E40" s="77"/>
      <c r="F40" s="77"/>
      <c r="G40" s="77"/>
      <c r="H40" s="77"/>
      <c r="I40" s="77"/>
      <c r="J40" s="77"/>
      <c r="K40" s="77"/>
      <c r="L40" s="77"/>
      <c r="M40" s="77"/>
      <c r="N40" s="77"/>
      <c r="O40" s="77"/>
    </row>
    <row r="41" spans="1:15" ht="20.25" x14ac:dyDescent="0.25">
      <c r="A41" s="82"/>
      <c r="B41" s="82"/>
      <c r="C41" s="84"/>
      <c r="D41" s="84"/>
      <c r="E41" s="77"/>
      <c r="F41" s="77"/>
      <c r="G41" s="77"/>
      <c r="H41" s="77"/>
      <c r="I41" s="77"/>
      <c r="J41" s="77"/>
      <c r="K41" s="77"/>
      <c r="L41" s="77"/>
      <c r="M41" s="77"/>
      <c r="N41" s="77"/>
      <c r="O41" s="77"/>
    </row>
    <row r="42" spans="1:15" ht="20.25" x14ac:dyDescent="0.25">
      <c r="A42" s="82"/>
      <c r="B42" s="82"/>
      <c r="C42" s="84"/>
      <c r="D42" s="84"/>
      <c r="E42" s="77"/>
      <c r="F42" s="77"/>
      <c r="G42" s="77"/>
      <c r="H42" s="77"/>
      <c r="I42" s="77"/>
      <c r="J42" s="77"/>
      <c r="K42" s="77"/>
      <c r="L42" s="77"/>
      <c r="M42" s="77"/>
      <c r="N42" s="77"/>
      <c r="O42" s="77"/>
    </row>
    <row r="43" spans="1:15" ht="20.25" x14ac:dyDescent="0.25">
      <c r="A43" s="82"/>
      <c r="B43" s="82"/>
      <c r="C43" s="84"/>
      <c r="D43" s="84"/>
      <c r="E43" s="77"/>
      <c r="F43" s="77"/>
      <c r="G43" s="77"/>
      <c r="H43" s="77"/>
      <c r="I43" s="77"/>
      <c r="J43" s="77"/>
      <c r="K43" s="77"/>
      <c r="L43" s="77"/>
      <c r="M43" s="77"/>
      <c r="N43" s="77"/>
      <c r="O43" s="77"/>
    </row>
    <row r="44" spans="1:15" ht="20.25" x14ac:dyDescent="0.25">
      <c r="A44" s="82"/>
      <c r="B44" s="82"/>
      <c r="C44" s="84"/>
      <c r="D44" s="84"/>
      <c r="E44" s="77"/>
      <c r="F44" s="77"/>
      <c r="G44" s="77"/>
      <c r="H44" s="77"/>
      <c r="I44" s="77"/>
      <c r="J44" s="77"/>
      <c r="K44" s="77"/>
      <c r="L44" s="77"/>
      <c r="M44" s="77"/>
      <c r="N44" s="77"/>
      <c r="O44" s="77"/>
    </row>
    <row r="45" spans="1:15" ht="20.25" x14ac:dyDescent="0.25">
      <c r="A45" s="82"/>
      <c r="B45" s="82"/>
      <c r="C45" s="84"/>
      <c r="D45" s="84"/>
      <c r="E45" s="77"/>
      <c r="F45" s="77"/>
      <c r="G45" s="77"/>
      <c r="H45" s="77"/>
      <c r="I45" s="77"/>
      <c r="J45" s="77"/>
      <c r="K45" s="77"/>
      <c r="L45" s="77"/>
      <c r="M45" s="77"/>
      <c r="N45" s="77"/>
      <c r="O45" s="77"/>
    </row>
    <row r="46" spans="1:15" ht="20.25" x14ac:dyDescent="0.25">
      <c r="A46" s="82"/>
      <c r="B46" s="82"/>
      <c r="C46" s="84"/>
      <c r="D46" s="84"/>
      <c r="E46" s="77"/>
      <c r="F46" s="77"/>
      <c r="G46" s="77"/>
      <c r="H46" s="77"/>
      <c r="I46" s="77"/>
      <c r="J46" s="77"/>
      <c r="K46" s="77"/>
      <c r="L46" s="77"/>
      <c r="M46" s="77"/>
      <c r="N46" s="77"/>
      <c r="O46" s="77"/>
    </row>
    <row r="47" spans="1:15" ht="20.25" x14ac:dyDescent="0.25">
      <c r="A47" s="82"/>
      <c r="B47" s="82"/>
      <c r="C47" s="84"/>
      <c r="D47" s="84"/>
      <c r="E47" s="77"/>
      <c r="F47" s="77"/>
      <c r="G47" s="77"/>
      <c r="H47" s="77"/>
      <c r="I47" s="77"/>
      <c r="J47" s="77"/>
      <c r="K47" s="77"/>
      <c r="L47" s="77"/>
      <c r="M47" s="77"/>
      <c r="N47" s="77"/>
      <c r="O47" s="77"/>
    </row>
    <row r="48" spans="1:15" ht="20.25" x14ac:dyDescent="0.25">
      <c r="A48" s="82"/>
      <c r="B48" s="82"/>
      <c r="C48" s="84"/>
      <c r="D48" s="84"/>
      <c r="E48" s="77"/>
      <c r="F48" s="77"/>
      <c r="G48" s="77"/>
      <c r="H48" s="77"/>
      <c r="I48" s="77"/>
      <c r="J48" s="77"/>
      <c r="K48" s="77"/>
      <c r="L48" s="77"/>
      <c r="M48" s="77"/>
      <c r="N48" s="77"/>
      <c r="O48" s="77"/>
    </row>
    <row r="49" spans="1:15" ht="20.25" x14ac:dyDescent="0.25">
      <c r="A49" s="82"/>
      <c r="B49" s="82"/>
      <c r="C49" s="84"/>
      <c r="D49" s="84"/>
      <c r="E49" s="77"/>
      <c r="F49" s="77"/>
      <c r="G49" s="77"/>
      <c r="H49" s="77"/>
      <c r="I49" s="77"/>
      <c r="J49" s="77"/>
      <c r="K49" s="77"/>
      <c r="L49" s="77"/>
      <c r="M49" s="77"/>
      <c r="N49" s="77"/>
      <c r="O49" s="77"/>
    </row>
    <row r="50" spans="1:15" ht="20.25" x14ac:dyDescent="0.25">
      <c r="A50" s="82"/>
      <c r="B50" s="82"/>
      <c r="C50" s="84"/>
      <c r="D50" s="84"/>
      <c r="E50" s="77"/>
      <c r="F50" s="77"/>
      <c r="G50" s="77"/>
      <c r="H50" s="77"/>
      <c r="I50" s="77"/>
      <c r="J50" s="77"/>
      <c r="K50" s="77"/>
      <c r="L50" s="77"/>
      <c r="M50" s="77"/>
      <c r="N50" s="77"/>
      <c r="O50" s="77"/>
    </row>
    <row r="51" spans="1:15" ht="20.25" x14ac:dyDescent="0.25">
      <c r="A51" s="82"/>
      <c r="B51" s="82"/>
      <c r="C51" s="84"/>
      <c r="D51" s="84"/>
      <c r="E51" s="77"/>
      <c r="F51" s="77"/>
      <c r="G51" s="77"/>
      <c r="H51" s="77"/>
      <c r="I51" s="77"/>
      <c r="J51" s="77"/>
      <c r="K51" s="77"/>
      <c r="L51" s="77"/>
      <c r="M51" s="77"/>
      <c r="N51" s="77"/>
      <c r="O51" s="77"/>
    </row>
    <row r="52" spans="1:15" ht="20.25" x14ac:dyDescent="0.25">
      <c r="A52" s="82"/>
      <c r="B52" s="20"/>
      <c r="C52" s="27"/>
      <c r="D52" s="27"/>
    </row>
    <row r="53" spans="1:15" ht="20.25" x14ac:dyDescent="0.25">
      <c r="A53" s="82"/>
      <c r="B53" s="20"/>
      <c r="C53" s="27"/>
      <c r="D53" s="27"/>
    </row>
    <row r="54" spans="1:15" ht="20.25" x14ac:dyDescent="0.25">
      <c r="A54" s="82"/>
      <c r="B54" s="20"/>
      <c r="C54" s="27"/>
      <c r="D54" s="27"/>
    </row>
    <row r="55" spans="1:15" ht="20.25" x14ac:dyDescent="0.25">
      <c r="A55" s="82"/>
      <c r="B55" s="20"/>
      <c r="C55" s="27"/>
      <c r="D55" s="27"/>
    </row>
    <row r="56" spans="1:15" ht="20.25" x14ac:dyDescent="0.25">
      <c r="A56" s="82"/>
      <c r="B56" s="20"/>
      <c r="C56" s="27"/>
      <c r="D56" s="27"/>
    </row>
    <row r="57" spans="1:15" ht="20.25" x14ac:dyDescent="0.25">
      <c r="A57" s="82"/>
      <c r="B57" s="20"/>
      <c r="C57" s="27"/>
      <c r="D57" s="27"/>
    </row>
    <row r="58" spans="1:15" ht="20.25" x14ac:dyDescent="0.25">
      <c r="A58" s="82"/>
      <c r="B58" s="20"/>
      <c r="C58" s="27"/>
      <c r="D58" s="27"/>
    </row>
    <row r="59" spans="1:15" ht="20.25" x14ac:dyDescent="0.25">
      <c r="A59" s="82"/>
      <c r="B59" s="20"/>
      <c r="C59" s="27"/>
      <c r="D59" s="27"/>
    </row>
    <row r="60" spans="1:15" ht="20.25" x14ac:dyDescent="0.25">
      <c r="A60" s="82"/>
      <c r="B60" s="20"/>
      <c r="C60" s="27"/>
      <c r="D60" s="27"/>
    </row>
    <row r="61" spans="1:15" ht="20.25" x14ac:dyDescent="0.25">
      <c r="A61" s="82"/>
      <c r="B61" s="20"/>
      <c r="C61" s="27"/>
      <c r="D61" s="27"/>
    </row>
    <row r="62" spans="1:15" ht="20.25" x14ac:dyDescent="0.25">
      <c r="A62" s="82"/>
      <c r="B62" s="20"/>
      <c r="C62" s="27"/>
      <c r="D62" s="27"/>
    </row>
    <row r="63" spans="1:15" ht="20.25" x14ac:dyDescent="0.25">
      <c r="A63" s="82"/>
      <c r="B63" s="20"/>
      <c r="C63" s="27"/>
      <c r="D63" s="27"/>
    </row>
    <row r="64" spans="1:15" ht="20.25" x14ac:dyDescent="0.25">
      <c r="A64" s="82"/>
      <c r="B64" s="20"/>
      <c r="C64" s="27"/>
      <c r="D64" s="27"/>
    </row>
    <row r="65" spans="1:4" ht="20.25" x14ac:dyDescent="0.25">
      <c r="A65" s="82"/>
      <c r="B65" s="20"/>
      <c r="C65" s="27"/>
      <c r="D65" s="27"/>
    </row>
    <row r="66" spans="1:4" ht="20.25" x14ac:dyDescent="0.25">
      <c r="A66" s="82"/>
      <c r="B66" s="20"/>
      <c r="C66" s="27"/>
      <c r="D66" s="27"/>
    </row>
    <row r="67" spans="1:4" ht="20.25" x14ac:dyDescent="0.25">
      <c r="A67" s="82"/>
      <c r="B67" s="20"/>
      <c r="C67" s="27"/>
      <c r="D67" s="27"/>
    </row>
    <row r="68" spans="1:4" ht="20.25" x14ac:dyDescent="0.25">
      <c r="A68" s="82"/>
      <c r="B68" s="20"/>
      <c r="C68" s="27"/>
      <c r="D68" s="27"/>
    </row>
    <row r="69" spans="1:4" ht="20.25" x14ac:dyDescent="0.25">
      <c r="A69" s="82"/>
      <c r="B69" s="20"/>
      <c r="C69" s="27"/>
      <c r="D69" s="27"/>
    </row>
    <row r="70" spans="1:4" ht="20.25" x14ac:dyDescent="0.25">
      <c r="A70" s="82"/>
      <c r="B70" s="20"/>
      <c r="C70" s="27"/>
      <c r="D70" s="27"/>
    </row>
    <row r="71" spans="1:4" ht="20.25" x14ac:dyDescent="0.25">
      <c r="A71" s="82"/>
      <c r="B71" s="20"/>
      <c r="C71" s="27"/>
      <c r="D71" s="27"/>
    </row>
    <row r="72" spans="1:4" ht="20.25" x14ac:dyDescent="0.25">
      <c r="A72" s="82"/>
      <c r="B72" s="20"/>
      <c r="C72" s="27"/>
      <c r="D72" s="27"/>
    </row>
    <row r="73" spans="1:4" ht="20.25" x14ac:dyDescent="0.25">
      <c r="A73" s="82"/>
      <c r="B73" s="20"/>
      <c r="C73" s="27"/>
      <c r="D73" s="27"/>
    </row>
    <row r="74" spans="1:4" ht="20.25" x14ac:dyDescent="0.25">
      <c r="A74" s="82"/>
      <c r="B74" s="20"/>
      <c r="C74" s="27"/>
      <c r="D74" s="27"/>
    </row>
    <row r="75" spans="1:4" ht="20.25" x14ac:dyDescent="0.25">
      <c r="A75" s="82"/>
      <c r="B75" s="20"/>
      <c r="C75" s="27"/>
      <c r="D75" s="27"/>
    </row>
    <row r="76" spans="1:4" ht="20.25" x14ac:dyDescent="0.25">
      <c r="A76" s="82"/>
      <c r="B76" s="20"/>
      <c r="C76" s="27"/>
      <c r="D76" s="27"/>
    </row>
    <row r="77" spans="1:4" ht="20.25" x14ac:dyDescent="0.25">
      <c r="A77" s="82"/>
      <c r="B77" s="20"/>
      <c r="C77" s="27"/>
      <c r="D77" s="27"/>
    </row>
    <row r="78" spans="1:4" ht="20.25" x14ac:dyDescent="0.25">
      <c r="A78" s="82"/>
      <c r="B78" s="20"/>
      <c r="C78" s="27"/>
      <c r="D78" s="27"/>
    </row>
    <row r="79" spans="1:4" ht="20.25" x14ac:dyDescent="0.25">
      <c r="A79" s="82"/>
      <c r="B79" s="20"/>
      <c r="C79" s="27"/>
      <c r="D79" s="27"/>
    </row>
    <row r="80" spans="1:4" ht="20.25" x14ac:dyDescent="0.25">
      <c r="A80" s="82"/>
      <c r="B80" s="20"/>
      <c r="C80" s="27"/>
      <c r="D80" s="27"/>
    </row>
    <row r="81" spans="1:4" ht="20.25" x14ac:dyDescent="0.25">
      <c r="A81" s="82"/>
      <c r="B81" s="20"/>
      <c r="C81" s="27"/>
      <c r="D81" s="27"/>
    </row>
    <row r="82" spans="1:4" ht="20.25" x14ac:dyDescent="0.25">
      <c r="A82" s="82"/>
      <c r="B82" s="20"/>
      <c r="C82" s="27"/>
      <c r="D82" s="27"/>
    </row>
    <row r="83" spans="1:4" ht="20.25" x14ac:dyDescent="0.25">
      <c r="A83" s="82"/>
      <c r="B83" s="20"/>
      <c r="C83" s="27"/>
      <c r="D83" s="27"/>
    </row>
    <row r="84" spans="1:4" ht="20.25" x14ac:dyDescent="0.25">
      <c r="A84" s="82"/>
      <c r="B84" s="20"/>
      <c r="C84" s="27"/>
      <c r="D84" s="27"/>
    </row>
    <row r="85" spans="1:4" ht="20.25" x14ac:dyDescent="0.25">
      <c r="A85" s="82"/>
      <c r="B85" s="20"/>
      <c r="C85" s="27"/>
      <c r="D85" s="27"/>
    </row>
    <row r="86" spans="1:4" ht="20.25" x14ac:dyDescent="0.25">
      <c r="A86" s="82"/>
      <c r="B86" s="20"/>
      <c r="C86" s="27"/>
      <c r="D86" s="27"/>
    </row>
    <row r="87" spans="1:4" ht="20.25" x14ac:dyDescent="0.25">
      <c r="A87" s="82"/>
      <c r="B87" s="20"/>
      <c r="C87" s="27"/>
      <c r="D87" s="27"/>
    </row>
    <row r="88" spans="1:4" ht="20.25" x14ac:dyDescent="0.25">
      <c r="A88" s="82"/>
      <c r="B88" s="20"/>
      <c r="C88" s="27"/>
      <c r="D88" s="27"/>
    </row>
    <row r="89" spans="1:4" ht="20.25" x14ac:dyDescent="0.25">
      <c r="A89" s="82"/>
      <c r="B89" s="20"/>
      <c r="C89" s="27"/>
      <c r="D89" s="27"/>
    </row>
    <row r="90" spans="1:4" ht="20.25" x14ac:dyDescent="0.25">
      <c r="A90" s="82"/>
      <c r="B90" s="20"/>
      <c r="C90" s="27"/>
      <c r="D90" s="27"/>
    </row>
    <row r="91" spans="1:4" ht="20.25" x14ac:dyDescent="0.25">
      <c r="A91" s="82"/>
      <c r="B91" s="20"/>
      <c r="C91" s="27"/>
      <c r="D91" s="27"/>
    </row>
    <row r="92" spans="1:4" ht="20.25" x14ac:dyDescent="0.25">
      <c r="A92" s="82"/>
      <c r="B92" s="20"/>
      <c r="C92" s="27"/>
      <c r="D92" s="27"/>
    </row>
    <row r="93" spans="1:4" ht="20.25" x14ac:dyDescent="0.25">
      <c r="A93" s="82"/>
      <c r="B93" s="20"/>
      <c r="C93" s="27"/>
      <c r="D93" s="27"/>
    </row>
    <row r="94" spans="1:4" ht="20.25" x14ac:dyDescent="0.25">
      <c r="A94" s="82"/>
      <c r="B94" s="20"/>
      <c r="C94" s="27"/>
      <c r="D94" s="27"/>
    </row>
    <row r="95" spans="1:4" ht="20.25" x14ac:dyDescent="0.25">
      <c r="A95" s="82"/>
      <c r="B95" s="20"/>
      <c r="C95" s="27"/>
      <c r="D95" s="27"/>
    </row>
    <row r="96" spans="1:4" ht="20.25" x14ac:dyDescent="0.25">
      <c r="A96" s="82"/>
      <c r="B96" s="20"/>
      <c r="C96" s="27"/>
      <c r="D96" s="27"/>
    </row>
    <row r="97" spans="1:4" ht="20.25" x14ac:dyDescent="0.25">
      <c r="A97" s="82"/>
      <c r="B97" s="20"/>
      <c r="C97" s="27"/>
      <c r="D97" s="27"/>
    </row>
    <row r="98" spans="1:4" ht="20.25" x14ac:dyDescent="0.25">
      <c r="A98" s="82"/>
      <c r="B98" s="20"/>
      <c r="C98" s="27"/>
      <c r="D98" s="27"/>
    </row>
    <row r="99" spans="1:4" ht="20.25" x14ac:dyDescent="0.25">
      <c r="A99" s="82"/>
      <c r="B99" s="20"/>
      <c r="C99" s="27"/>
      <c r="D99" s="27"/>
    </row>
    <row r="100" spans="1:4" ht="20.25" x14ac:dyDescent="0.25">
      <c r="A100" s="82"/>
      <c r="B100" s="20"/>
      <c r="C100" s="27"/>
      <c r="D100" s="27"/>
    </row>
    <row r="101" spans="1:4" ht="20.25" x14ac:dyDescent="0.25">
      <c r="A101" s="82"/>
      <c r="B101" s="20"/>
      <c r="C101" s="27"/>
      <c r="D101" s="27"/>
    </row>
    <row r="102" spans="1:4" ht="20.25" x14ac:dyDescent="0.25">
      <c r="A102" s="82"/>
      <c r="B102" s="20"/>
      <c r="C102" s="27"/>
      <c r="D102" s="27"/>
    </row>
    <row r="103" spans="1:4" ht="20.25" x14ac:dyDescent="0.25">
      <c r="A103" s="82"/>
      <c r="B103" s="20"/>
      <c r="C103" s="27"/>
      <c r="D103" s="27"/>
    </row>
    <row r="104" spans="1:4" ht="20.25" x14ac:dyDescent="0.25">
      <c r="A104" s="82"/>
      <c r="B104" s="20"/>
      <c r="C104" s="27"/>
      <c r="D104" s="27"/>
    </row>
    <row r="105" spans="1:4" ht="20.25" x14ac:dyDescent="0.25">
      <c r="A105" s="82"/>
      <c r="B105" s="20"/>
      <c r="C105" s="27"/>
      <c r="D105" s="27"/>
    </row>
    <row r="106" spans="1:4" ht="20.25" x14ac:dyDescent="0.25">
      <c r="A106" s="82"/>
      <c r="B106" s="20"/>
      <c r="C106" s="27"/>
      <c r="D106" s="27"/>
    </row>
    <row r="107" spans="1:4" ht="20.25" x14ac:dyDescent="0.25">
      <c r="A107" s="82"/>
      <c r="B107" s="20"/>
      <c r="C107" s="27"/>
      <c r="D107" s="27"/>
    </row>
    <row r="108" spans="1:4" ht="20.25" x14ac:dyDescent="0.25">
      <c r="A108" s="82"/>
      <c r="B108" s="20"/>
      <c r="C108" s="27"/>
      <c r="D108" s="27"/>
    </row>
    <row r="109" spans="1:4" ht="20.25" x14ac:dyDescent="0.25">
      <c r="A109" s="82"/>
      <c r="B109" s="20"/>
      <c r="C109" s="27"/>
      <c r="D109" s="27"/>
    </row>
    <row r="110" spans="1:4" ht="20.25" x14ac:dyDescent="0.25">
      <c r="A110" s="82"/>
      <c r="B110" s="20"/>
      <c r="C110" s="27"/>
      <c r="D110" s="27"/>
    </row>
    <row r="111" spans="1:4" ht="20.25" x14ac:dyDescent="0.25">
      <c r="A111" s="82"/>
      <c r="B111" s="20"/>
      <c r="C111" s="27"/>
      <c r="D111" s="27"/>
    </row>
    <row r="112" spans="1:4" ht="20.25" x14ac:dyDescent="0.25">
      <c r="A112" s="82"/>
      <c r="B112" s="20"/>
      <c r="C112" s="27"/>
      <c r="D112" s="27"/>
    </row>
    <row r="113" spans="1:4" ht="20.25" x14ac:dyDescent="0.25">
      <c r="A113" s="82"/>
      <c r="B113" s="20"/>
      <c r="C113" s="27"/>
      <c r="D113" s="27"/>
    </row>
    <row r="114" spans="1:4" ht="20.25" x14ac:dyDescent="0.25">
      <c r="A114" s="82"/>
      <c r="B114" s="20"/>
      <c r="C114" s="27"/>
      <c r="D114" s="27"/>
    </row>
    <row r="115" spans="1:4" ht="20.25" x14ac:dyDescent="0.25">
      <c r="A115" s="82"/>
      <c r="B115" s="20"/>
      <c r="C115" s="27"/>
      <c r="D115" s="27"/>
    </row>
    <row r="116" spans="1:4" ht="20.25" x14ac:dyDescent="0.25">
      <c r="A116" s="82"/>
      <c r="B116" s="20"/>
      <c r="C116" s="27"/>
      <c r="D116" s="27"/>
    </row>
    <row r="117" spans="1:4" ht="20.25" x14ac:dyDescent="0.25">
      <c r="A117" s="82"/>
      <c r="B117" s="20"/>
      <c r="C117" s="27"/>
      <c r="D117" s="27"/>
    </row>
    <row r="118" spans="1:4" ht="20.25" x14ac:dyDescent="0.25">
      <c r="A118" s="82"/>
      <c r="B118" s="20"/>
      <c r="C118" s="27"/>
      <c r="D118" s="27"/>
    </row>
    <row r="119" spans="1:4" ht="20.25" x14ac:dyDescent="0.25">
      <c r="A119" s="82"/>
      <c r="B119" s="20"/>
      <c r="C119" s="27"/>
      <c r="D119" s="27"/>
    </row>
    <row r="120" spans="1:4" ht="20.25" x14ac:dyDescent="0.25">
      <c r="A120" s="82"/>
      <c r="B120" s="20"/>
      <c r="C120" s="27"/>
      <c r="D120" s="27"/>
    </row>
    <row r="121" spans="1:4" ht="20.25" x14ac:dyDescent="0.25">
      <c r="A121" s="82"/>
      <c r="B121" s="20"/>
      <c r="C121" s="27"/>
      <c r="D121" s="27"/>
    </row>
    <row r="122" spans="1:4" ht="20.25" x14ac:dyDescent="0.25">
      <c r="A122" s="82"/>
      <c r="B122" s="20"/>
      <c r="C122" s="27"/>
      <c r="D122" s="27"/>
    </row>
    <row r="123" spans="1:4" ht="20.25" x14ac:dyDescent="0.25">
      <c r="A123" s="82"/>
      <c r="B123" s="20"/>
      <c r="C123" s="27"/>
      <c r="D123" s="27"/>
    </row>
    <row r="124" spans="1:4" ht="20.25" x14ac:dyDescent="0.25">
      <c r="A124" s="82"/>
      <c r="B124" s="20"/>
      <c r="C124" s="27"/>
      <c r="D124" s="27"/>
    </row>
    <row r="125" spans="1:4" ht="20.25" x14ac:dyDescent="0.25">
      <c r="A125" s="82"/>
      <c r="B125" s="20"/>
      <c r="C125" s="27"/>
      <c r="D125" s="27"/>
    </row>
    <row r="126" spans="1:4" ht="20.25" x14ac:dyDescent="0.25">
      <c r="A126" s="82"/>
      <c r="B126" s="20"/>
      <c r="C126" s="27"/>
      <c r="D126" s="27"/>
    </row>
    <row r="127" spans="1:4" ht="20.25" x14ac:dyDescent="0.25">
      <c r="A127" s="82"/>
      <c r="B127" s="20"/>
      <c r="C127" s="27"/>
      <c r="D127" s="27"/>
    </row>
    <row r="128" spans="1:4" ht="20.25" x14ac:dyDescent="0.25">
      <c r="A128" s="82"/>
      <c r="B128" s="20"/>
      <c r="C128" s="27"/>
      <c r="D128" s="27"/>
    </row>
    <row r="129" spans="1:4" ht="20.25" x14ac:dyDescent="0.25">
      <c r="A129" s="82"/>
      <c r="B129" s="20"/>
      <c r="C129" s="27"/>
      <c r="D129" s="27"/>
    </row>
    <row r="130" spans="1:4" ht="20.25" x14ac:dyDescent="0.25">
      <c r="A130" s="82"/>
      <c r="B130" s="20"/>
      <c r="C130" s="27"/>
      <c r="D130" s="27"/>
    </row>
    <row r="131" spans="1:4" ht="20.25" x14ac:dyDescent="0.25">
      <c r="A131" s="82"/>
      <c r="B131" s="20"/>
      <c r="C131" s="27"/>
      <c r="D131" s="27"/>
    </row>
    <row r="132" spans="1:4" ht="20.25" x14ac:dyDescent="0.25">
      <c r="A132" s="82"/>
      <c r="B132" s="20"/>
      <c r="C132" s="27"/>
      <c r="D132" s="27"/>
    </row>
    <row r="133" spans="1:4" ht="20.25" x14ac:dyDescent="0.25">
      <c r="A133" s="82"/>
      <c r="B133" s="20"/>
      <c r="C133" s="27"/>
      <c r="D133" s="27"/>
    </row>
    <row r="134" spans="1:4" ht="20.25" x14ac:dyDescent="0.25">
      <c r="A134" s="82"/>
      <c r="B134" s="20"/>
      <c r="C134" s="27"/>
      <c r="D134" s="27"/>
    </row>
    <row r="135" spans="1:4" ht="20.25" x14ac:dyDescent="0.25">
      <c r="A135" s="82"/>
      <c r="B135" s="20"/>
      <c r="C135" s="27"/>
      <c r="D135" s="27"/>
    </row>
    <row r="136" spans="1:4" ht="20.25" x14ac:dyDescent="0.25">
      <c r="A136" s="82"/>
      <c r="B136" s="20"/>
      <c r="C136" s="27"/>
      <c r="D136" s="27"/>
    </row>
    <row r="137" spans="1:4" ht="20.25" x14ac:dyDescent="0.25">
      <c r="A137" s="82"/>
      <c r="B137" s="20"/>
      <c r="C137" s="27"/>
      <c r="D137" s="27"/>
    </row>
    <row r="138" spans="1:4" ht="20.25" x14ac:dyDescent="0.25">
      <c r="A138" s="82"/>
      <c r="B138" s="20"/>
      <c r="C138" s="27"/>
      <c r="D138" s="27"/>
    </row>
    <row r="139" spans="1:4" ht="20.25" x14ac:dyDescent="0.25">
      <c r="A139" s="82"/>
      <c r="B139" s="20"/>
      <c r="C139" s="27"/>
      <c r="D139" s="27"/>
    </row>
    <row r="140" spans="1:4" ht="20.25" x14ac:dyDescent="0.25">
      <c r="A140" s="82"/>
      <c r="B140" s="20"/>
      <c r="C140" s="27"/>
      <c r="D140" s="27"/>
    </row>
    <row r="141" spans="1:4" ht="20.25" x14ac:dyDescent="0.25">
      <c r="A141" s="82"/>
      <c r="B141" s="20"/>
      <c r="C141" s="27"/>
      <c r="D141" s="27"/>
    </row>
    <row r="142" spans="1:4" ht="20.25" x14ac:dyDescent="0.25">
      <c r="A142" s="82"/>
      <c r="B142" s="20"/>
      <c r="C142" s="27"/>
      <c r="D142" s="27"/>
    </row>
    <row r="143" spans="1:4" ht="20.25" x14ac:dyDescent="0.25">
      <c r="A143" s="82"/>
      <c r="B143" s="20"/>
      <c r="C143" s="27"/>
      <c r="D143" s="27"/>
    </row>
    <row r="144" spans="1:4" ht="20.25" x14ac:dyDescent="0.25">
      <c r="A144" s="82"/>
      <c r="B144" s="20"/>
      <c r="C144" s="27"/>
      <c r="D144" s="27"/>
    </row>
    <row r="145" spans="1:4" ht="20.25" x14ac:dyDescent="0.25">
      <c r="A145" s="82"/>
      <c r="B145" s="20"/>
      <c r="C145" s="27"/>
      <c r="D145" s="27"/>
    </row>
    <row r="146" spans="1:4" ht="20.25" x14ac:dyDescent="0.25">
      <c r="A146" s="82"/>
      <c r="B146" s="20"/>
      <c r="C146" s="27"/>
      <c r="D146" s="27"/>
    </row>
    <row r="147" spans="1:4" ht="20.25" x14ac:dyDescent="0.25">
      <c r="A147" s="82"/>
      <c r="B147" s="20"/>
      <c r="C147" s="27"/>
      <c r="D147" s="27"/>
    </row>
    <row r="148" spans="1:4" ht="20.25" x14ac:dyDescent="0.25">
      <c r="A148" s="82"/>
      <c r="B148" s="20"/>
      <c r="C148" s="27"/>
      <c r="D148" s="27"/>
    </row>
    <row r="149" spans="1:4" ht="20.25" x14ac:dyDescent="0.25">
      <c r="A149" s="82"/>
      <c r="B149" s="20"/>
      <c r="C149" s="27"/>
      <c r="D149" s="27"/>
    </row>
    <row r="150" spans="1:4" ht="20.25" x14ac:dyDescent="0.25">
      <c r="A150" s="82"/>
      <c r="B150" s="20"/>
      <c r="C150" s="27"/>
      <c r="D150" s="27"/>
    </row>
    <row r="151" spans="1:4" ht="20.25" x14ac:dyDescent="0.25">
      <c r="A151" s="82"/>
      <c r="B151" s="20"/>
      <c r="C151" s="27"/>
      <c r="D151" s="27"/>
    </row>
    <row r="152" spans="1:4" ht="20.25" x14ac:dyDescent="0.25">
      <c r="A152" s="82"/>
      <c r="B152" s="20"/>
      <c r="C152" s="27"/>
      <c r="D152" s="27"/>
    </row>
    <row r="153" spans="1:4" ht="20.25" x14ac:dyDescent="0.25">
      <c r="A153" s="82"/>
      <c r="B153" s="20"/>
      <c r="C153" s="27"/>
      <c r="D153" s="27"/>
    </row>
    <row r="154" spans="1:4" ht="20.25" x14ac:dyDescent="0.25">
      <c r="A154" s="82"/>
      <c r="B154" s="20"/>
      <c r="C154" s="27"/>
      <c r="D154" s="27"/>
    </row>
    <row r="155" spans="1:4" ht="20.25" x14ac:dyDescent="0.25">
      <c r="A155" s="82"/>
      <c r="B155" s="20"/>
      <c r="C155" s="27"/>
      <c r="D155" s="27"/>
    </row>
    <row r="156" spans="1:4" ht="20.25" x14ac:dyDescent="0.25">
      <c r="A156" s="82"/>
      <c r="B156" s="20"/>
      <c r="C156" s="27"/>
      <c r="D156" s="27"/>
    </row>
    <row r="157" spans="1:4" ht="20.25" x14ac:dyDescent="0.25">
      <c r="A157" s="82"/>
      <c r="B157" s="20"/>
      <c r="C157" s="27"/>
      <c r="D157" s="27"/>
    </row>
    <row r="158" spans="1:4" ht="20.25" x14ac:dyDescent="0.25">
      <c r="A158" s="82"/>
      <c r="B158" s="20"/>
      <c r="C158" s="27"/>
      <c r="D158" s="27"/>
    </row>
    <row r="159" spans="1:4" ht="20.25" x14ac:dyDescent="0.25">
      <c r="A159" s="82"/>
      <c r="B159" s="20"/>
      <c r="C159" s="27"/>
      <c r="D159" s="27"/>
    </row>
    <row r="160" spans="1:4" ht="20.25" x14ac:dyDescent="0.25">
      <c r="A160" s="82"/>
      <c r="B160" s="20"/>
      <c r="C160" s="27"/>
      <c r="D160" s="27"/>
    </row>
    <row r="161" spans="1:4" ht="20.25" x14ac:dyDescent="0.25">
      <c r="A161" s="82"/>
      <c r="B161" s="20"/>
      <c r="C161" s="27"/>
      <c r="D161" s="27"/>
    </row>
    <row r="162" spans="1:4" ht="20.25" x14ac:dyDescent="0.25">
      <c r="A162" s="82"/>
      <c r="B162" s="20"/>
      <c r="C162" s="27"/>
      <c r="D162" s="27"/>
    </row>
    <row r="163" spans="1:4" ht="20.25" x14ac:dyDescent="0.25">
      <c r="A163" s="82"/>
      <c r="B163" s="20"/>
      <c r="C163" s="27"/>
      <c r="D163" s="27"/>
    </row>
    <row r="164" spans="1:4" ht="20.25" x14ac:dyDescent="0.25">
      <c r="A164" s="82"/>
      <c r="B164" s="20"/>
      <c r="C164" s="27"/>
      <c r="D164" s="27"/>
    </row>
    <row r="165" spans="1:4" ht="20.25" x14ac:dyDescent="0.25">
      <c r="A165" s="82"/>
      <c r="B165" s="20"/>
      <c r="C165" s="27"/>
      <c r="D165" s="27"/>
    </row>
    <row r="166" spans="1:4" ht="20.25" x14ac:dyDescent="0.25">
      <c r="A166" s="82"/>
      <c r="B166" s="20"/>
      <c r="C166" s="27"/>
      <c r="D166" s="27"/>
    </row>
    <row r="167" spans="1:4" ht="20.25" x14ac:dyDescent="0.25">
      <c r="A167" s="82"/>
      <c r="B167" s="20"/>
      <c r="C167" s="27"/>
      <c r="D167" s="27"/>
    </row>
    <row r="168" spans="1:4" ht="20.25" x14ac:dyDescent="0.25">
      <c r="A168" s="82"/>
      <c r="B168" s="20"/>
      <c r="C168" s="27"/>
      <c r="D168" s="27"/>
    </row>
    <row r="169" spans="1:4" ht="20.25" x14ac:dyDescent="0.25">
      <c r="A169" s="82"/>
      <c r="B169" s="20"/>
      <c r="C169" s="27"/>
      <c r="D169" s="27"/>
    </row>
    <row r="170" spans="1:4" ht="20.25" x14ac:dyDescent="0.25">
      <c r="A170" s="82"/>
      <c r="B170" s="20"/>
      <c r="C170" s="27"/>
      <c r="D170" s="27"/>
    </row>
    <row r="171" spans="1:4" ht="20.25" x14ac:dyDescent="0.25">
      <c r="A171" s="82"/>
      <c r="B171" s="20"/>
      <c r="C171" s="27"/>
      <c r="D171" s="27"/>
    </row>
    <row r="172" spans="1:4" ht="20.25" x14ac:dyDescent="0.25">
      <c r="A172" s="82"/>
      <c r="B172" s="20"/>
      <c r="C172" s="27"/>
      <c r="D172" s="27"/>
    </row>
    <row r="173" spans="1:4" ht="20.25" x14ac:dyDescent="0.25">
      <c r="A173" s="82"/>
      <c r="B173" s="20"/>
      <c r="C173" s="27"/>
      <c r="D173" s="27"/>
    </row>
    <row r="174" spans="1:4" ht="20.25" x14ac:dyDescent="0.25">
      <c r="A174" s="82"/>
      <c r="B174" s="20"/>
      <c r="C174" s="27"/>
      <c r="D174" s="27"/>
    </row>
    <row r="175" spans="1:4" ht="20.25" x14ac:dyDescent="0.25">
      <c r="A175" s="82"/>
      <c r="B175" s="20"/>
      <c r="C175" s="27"/>
      <c r="D175" s="27"/>
    </row>
    <row r="176" spans="1:4" ht="20.25" x14ac:dyDescent="0.25">
      <c r="A176" s="82"/>
      <c r="B176" s="20"/>
      <c r="C176" s="27"/>
      <c r="D176" s="27"/>
    </row>
    <row r="177" spans="1:4" ht="20.25" x14ac:dyDescent="0.25">
      <c r="A177" s="82"/>
      <c r="B177" s="20"/>
      <c r="C177" s="27"/>
      <c r="D177" s="27"/>
    </row>
    <row r="178" spans="1:4" ht="20.25" x14ac:dyDescent="0.25">
      <c r="A178" s="82"/>
      <c r="B178" s="20"/>
      <c r="C178" s="27"/>
      <c r="D178" s="27"/>
    </row>
    <row r="179" spans="1:4" ht="20.25" x14ac:dyDescent="0.25">
      <c r="A179" s="82"/>
      <c r="B179" s="20"/>
      <c r="C179" s="27"/>
      <c r="D179" s="27"/>
    </row>
    <row r="180" spans="1:4" ht="20.25" x14ac:dyDescent="0.25">
      <c r="A180" s="82"/>
      <c r="B180" s="20"/>
      <c r="C180" s="27"/>
      <c r="D180" s="27"/>
    </row>
    <row r="181" spans="1:4" ht="20.25" x14ac:dyDescent="0.25">
      <c r="A181" s="82"/>
      <c r="B181" s="20"/>
      <c r="C181" s="27"/>
      <c r="D181" s="27"/>
    </row>
    <row r="182" spans="1:4" ht="20.25" x14ac:dyDescent="0.25">
      <c r="A182" s="82"/>
      <c r="B182" s="20"/>
      <c r="C182" s="27"/>
      <c r="D182" s="27"/>
    </row>
    <row r="183" spans="1:4" ht="20.25" x14ac:dyDescent="0.25">
      <c r="A183" s="82"/>
      <c r="B183" s="20"/>
      <c r="C183" s="27"/>
      <c r="D183" s="27"/>
    </row>
    <row r="184" spans="1:4" ht="20.25" x14ac:dyDescent="0.25">
      <c r="A184" s="82"/>
      <c r="B184" s="20"/>
      <c r="C184" s="27"/>
      <c r="D184" s="27"/>
    </row>
    <row r="185" spans="1:4" ht="20.25" x14ac:dyDescent="0.25">
      <c r="A185" s="82"/>
      <c r="B185" s="20"/>
      <c r="C185" s="27"/>
      <c r="D185" s="27"/>
    </row>
    <row r="186" spans="1:4" ht="20.25" x14ac:dyDescent="0.25">
      <c r="A186" s="82"/>
      <c r="B186" s="20"/>
      <c r="C186" s="27"/>
      <c r="D186" s="27"/>
    </row>
    <row r="187" spans="1:4" ht="20.25" x14ac:dyDescent="0.25">
      <c r="A187" s="82"/>
      <c r="B187" s="20"/>
      <c r="C187" s="27"/>
      <c r="D187" s="27"/>
    </row>
    <row r="188" spans="1:4" ht="20.25" x14ac:dyDescent="0.25">
      <c r="A188" s="82"/>
      <c r="B188" s="20"/>
      <c r="C188" s="27"/>
      <c r="D188" s="27"/>
    </row>
    <row r="189" spans="1:4" ht="20.25" x14ac:dyDescent="0.25">
      <c r="A189" s="82"/>
      <c r="B189" s="20"/>
      <c r="C189" s="27"/>
      <c r="D189" s="27"/>
    </row>
    <row r="190" spans="1:4" ht="20.25" x14ac:dyDescent="0.25">
      <c r="A190" s="82"/>
      <c r="B190" s="20"/>
      <c r="C190" s="27"/>
      <c r="D190" s="27"/>
    </row>
    <row r="191" spans="1:4" ht="20.25" x14ac:dyDescent="0.25">
      <c r="A191" s="82"/>
      <c r="B191" s="20"/>
      <c r="C191" s="27"/>
      <c r="D191" s="27"/>
    </row>
    <row r="192" spans="1:4" ht="20.25" x14ac:dyDescent="0.25">
      <c r="A192" s="82"/>
      <c r="B192" s="20"/>
      <c r="C192" s="27"/>
      <c r="D192" s="27"/>
    </row>
    <row r="193" spans="1:4" ht="20.25" x14ac:dyDescent="0.25">
      <c r="A193" s="82"/>
      <c r="B193" s="20"/>
      <c r="C193" s="27"/>
      <c r="D193" s="27"/>
    </row>
    <row r="194" spans="1:4" ht="20.25" x14ac:dyDescent="0.25">
      <c r="A194" s="82"/>
      <c r="B194" s="20"/>
      <c r="C194" s="27"/>
      <c r="D194" s="27"/>
    </row>
    <row r="195" spans="1:4" ht="20.25" x14ac:dyDescent="0.25">
      <c r="A195" s="82"/>
      <c r="B195" s="20"/>
      <c r="C195" s="27"/>
      <c r="D195" s="27"/>
    </row>
    <row r="196" spans="1:4" ht="20.25" x14ac:dyDescent="0.25">
      <c r="A196" s="82"/>
      <c r="B196" s="20"/>
      <c r="C196" s="27"/>
      <c r="D196" s="27"/>
    </row>
    <row r="197" spans="1:4" ht="20.25" x14ac:dyDescent="0.25">
      <c r="A197" s="82"/>
      <c r="B197" s="20"/>
      <c r="C197" s="27"/>
      <c r="D197" s="27"/>
    </row>
    <row r="198" spans="1:4" ht="20.25" x14ac:dyDescent="0.25">
      <c r="A198" s="82"/>
      <c r="B198" s="20"/>
      <c r="C198" s="27"/>
      <c r="D198" s="27"/>
    </row>
    <row r="199" spans="1:4" ht="20.25" x14ac:dyDescent="0.25">
      <c r="A199" s="82"/>
      <c r="B199" s="20"/>
      <c r="C199" s="27"/>
      <c r="D199" s="27"/>
    </row>
    <row r="200" spans="1:4" ht="20.25" x14ac:dyDescent="0.25">
      <c r="A200" s="82"/>
      <c r="B200" s="20"/>
      <c r="C200" s="27"/>
      <c r="D200" s="27"/>
    </row>
    <row r="201" spans="1:4" ht="20.25" x14ac:dyDescent="0.25">
      <c r="A201" s="82"/>
      <c r="B201" s="20"/>
      <c r="C201" s="27"/>
      <c r="D201" s="27"/>
    </row>
    <row r="202" spans="1:4" ht="20.25" x14ac:dyDescent="0.25">
      <c r="A202" s="82"/>
      <c r="B202" s="20"/>
      <c r="C202" s="27"/>
      <c r="D202" s="27"/>
    </row>
    <row r="203" spans="1:4" ht="20.25" x14ac:dyDescent="0.25">
      <c r="A203" s="82"/>
      <c r="B203" s="20"/>
      <c r="C203" s="27"/>
      <c r="D203" s="27"/>
    </row>
    <row r="204" spans="1:4" ht="20.25" x14ac:dyDescent="0.25">
      <c r="A204" s="82"/>
      <c r="B204" s="20"/>
      <c r="C204" s="27"/>
      <c r="D204" s="27"/>
    </row>
    <row r="205" spans="1:4" ht="20.25" x14ac:dyDescent="0.25">
      <c r="A205" s="82"/>
      <c r="B205" s="20"/>
      <c r="C205" s="27"/>
      <c r="D205" s="27"/>
    </row>
    <row r="206" spans="1:4" ht="20.25" x14ac:dyDescent="0.25">
      <c r="A206" s="82"/>
      <c r="B206" s="20"/>
      <c r="C206" s="27"/>
      <c r="D206" s="27"/>
    </row>
    <row r="207" spans="1:4" ht="20.25" x14ac:dyDescent="0.25">
      <c r="A207" s="82"/>
      <c r="B207" s="20"/>
      <c r="C207" s="27"/>
      <c r="D207" s="27"/>
    </row>
    <row r="208" spans="1:4" x14ac:dyDescent="0.25">
      <c r="A208" s="77"/>
      <c r="B208" s="20"/>
      <c r="C208" s="20"/>
      <c r="D208" s="20"/>
    </row>
    <row r="209" spans="1:8" ht="20.25" x14ac:dyDescent="0.25">
      <c r="A209" s="77"/>
      <c r="B209" s="23" t="s">
        <v>72</v>
      </c>
      <c r="C209" s="23" t="s">
        <v>121</v>
      </c>
      <c r="D209" s="26" t="s">
        <v>72</v>
      </c>
      <c r="E209" s="26" t="s">
        <v>121</v>
      </c>
    </row>
    <row r="210" spans="1:8" ht="21" x14ac:dyDescent="0.35">
      <c r="A210" s="77"/>
      <c r="B210" s="24" t="s">
        <v>74</v>
      </c>
      <c r="C210" s="24" t="s">
        <v>57</v>
      </c>
      <c r="D210" t="s">
        <v>74</v>
      </c>
      <c r="F210" t="str">
        <f>IF(NOT(ISBLANK(D210)),D210,IF(NOT(ISBLANK(E210)),"     "&amp;E210,FALSE))</f>
        <v>Afectación Económica o presupuestal</v>
      </c>
      <c r="G210" t="s">
        <v>74</v>
      </c>
      <c r="H210" t="str">
        <f>IF(NOT(ISERROR(MATCH(G210,_xlfn.ANCHORARRAY(B221),0))),F223&amp;"Por favor no seleccionar los criterios de impacto",G210)</f>
        <v>❌Por favor no seleccionar los criterios de impacto</v>
      </c>
    </row>
    <row r="211" spans="1:8" ht="21" x14ac:dyDescent="0.35">
      <c r="A211" s="77"/>
      <c r="B211" s="24" t="s">
        <v>74</v>
      </c>
      <c r="C211" s="24" t="s">
        <v>77</v>
      </c>
      <c r="E211" t="s">
        <v>57</v>
      </c>
      <c r="F211" t="str">
        <f t="shared" ref="F211:F221" si="0">IF(NOT(ISBLANK(D211)),D211,IF(NOT(ISBLANK(E211)),"     "&amp;E211,FALSE))</f>
        <v xml:space="preserve">     Afectación menor a 10 SMLMV .</v>
      </c>
    </row>
    <row r="212" spans="1:8" ht="21" x14ac:dyDescent="0.35">
      <c r="A212" s="77"/>
      <c r="B212" s="24" t="s">
        <v>74</v>
      </c>
      <c r="C212" s="24" t="s">
        <v>78</v>
      </c>
      <c r="E212" t="s">
        <v>77</v>
      </c>
      <c r="F212" t="str">
        <f t="shared" si="0"/>
        <v xml:space="preserve">     Entre 10 y 50 SMLMV </v>
      </c>
    </row>
    <row r="213" spans="1:8" ht="21" x14ac:dyDescent="0.35">
      <c r="A213" s="77"/>
      <c r="B213" s="24" t="s">
        <v>74</v>
      </c>
      <c r="C213" s="24" t="s">
        <v>79</v>
      </c>
      <c r="E213" t="s">
        <v>78</v>
      </c>
      <c r="F213" t="str">
        <f t="shared" si="0"/>
        <v xml:space="preserve">     Entre 50 y 100 SMLMV </v>
      </c>
    </row>
    <row r="214" spans="1:8" ht="21" x14ac:dyDescent="0.35">
      <c r="A214" s="77"/>
      <c r="B214" s="24" t="s">
        <v>74</v>
      </c>
      <c r="C214" s="24" t="s">
        <v>80</v>
      </c>
      <c r="E214" t="s">
        <v>79</v>
      </c>
      <c r="F214" t="str">
        <f t="shared" si="0"/>
        <v xml:space="preserve">     Entre 100 y 500 SMLMV </v>
      </c>
    </row>
    <row r="215" spans="1:8" ht="21" x14ac:dyDescent="0.35">
      <c r="A215" s="77"/>
      <c r="B215" s="24" t="s">
        <v>56</v>
      </c>
      <c r="C215" s="24" t="s">
        <v>81</v>
      </c>
      <c r="E215" t="s">
        <v>80</v>
      </c>
      <c r="F215" t="str">
        <f t="shared" si="0"/>
        <v xml:space="preserve">     Mayor a 500 SMLMV </v>
      </c>
    </row>
    <row r="216" spans="1:8" ht="21" x14ac:dyDescent="0.35">
      <c r="A216" s="77"/>
      <c r="B216" s="24" t="s">
        <v>56</v>
      </c>
      <c r="C216" s="24" t="s">
        <v>82</v>
      </c>
      <c r="D216" t="s">
        <v>56</v>
      </c>
      <c r="F216" t="str">
        <f t="shared" si="0"/>
        <v>Pérdida Reputacional</v>
      </c>
    </row>
    <row r="217" spans="1:8" ht="21" x14ac:dyDescent="0.35">
      <c r="A217" s="77"/>
      <c r="B217" s="24" t="s">
        <v>56</v>
      </c>
      <c r="C217" s="24" t="s">
        <v>84</v>
      </c>
      <c r="E217" t="s">
        <v>81</v>
      </c>
      <c r="F217" t="str">
        <f t="shared" si="0"/>
        <v xml:space="preserve">     El riesgo afecta la imagen de alguna área de la organización</v>
      </c>
    </row>
    <row r="218" spans="1:8" ht="21" x14ac:dyDescent="0.35">
      <c r="A218" s="77"/>
      <c r="B218" s="24" t="s">
        <v>56</v>
      </c>
      <c r="C218" s="24" t="s">
        <v>83</v>
      </c>
      <c r="E218" t="s">
        <v>82</v>
      </c>
      <c r="F218" t="str">
        <f t="shared" si="0"/>
        <v xml:space="preserve">     El riesgo afecta la imagen de la entidad internamente, de conocimiento general, nivel interno, de junta dircetiva y accionistas y/o de provedores</v>
      </c>
    </row>
    <row r="219" spans="1:8" ht="21" x14ac:dyDescent="0.35">
      <c r="A219" s="77"/>
      <c r="B219" s="24" t="s">
        <v>56</v>
      </c>
      <c r="C219" s="24" t="s">
        <v>99</v>
      </c>
      <c r="E219" t="s">
        <v>84</v>
      </c>
      <c r="F219" t="str">
        <f t="shared" si="0"/>
        <v xml:space="preserve">     El riesgo afecta la imagen de la entidad con algunos usuarios de relevancia frente al logro de los objetivos</v>
      </c>
    </row>
    <row r="220" spans="1:8" x14ac:dyDescent="0.25">
      <c r="A220" s="77"/>
      <c r="B220" s="25"/>
      <c r="C220" s="25"/>
      <c r="E220" t="s">
        <v>83</v>
      </c>
      <c r="F220" t="str">
        <f t="shared" si="0"/>
        <v xml:space="preserve">     El riesgo afecta la imagen de de la entidad con efecto publicitario sostenido a nivel de sector administrativo, nivel departamental o municipal</v>
      </c>
    </row>
    <row r="221" spans="1:8" x14ac:dyDescent="0.25">
      <c r="A221" s="77"/>
      <c r="B221" s="25" t="str" cm="1">
        <f t="array" ref="B221:B223">_xlfn.UNIQUE(Tabla1[[#All],[Criterios]])</f>
        <v>Criterios</v>
      </c>
      <c r="C221" s="25"/>
      <c r="E221" t="s">
        <v>99</v>
      </c>
      <c r="F221" t="str">
        <f t="shared" si="0"/>
        <v xml:space="preserve">     El riesgo afecta la imagen de la entidad a nivel nacional, con efecto publicitarios sostenible a nivel país</v>
      </c>
    </row>
    <row r="222" spans="1:8" x14ac:dyDescent="0.25">
      <c r="A222" s="77"/>
      <c r="B222" s="25" t="str">
        <v>Afectación Económica o presupuestal</v>
      </c>
      <c r="C222" s="25"/>
    </row>
    <row r="223" spans="1:8" x14ac:dyDescent="0.25">
      <c r="B223" s="25" t="str">
        <v>Pérdida Reputacional</v>
      </c>
      <c r="C223" s="25"/>
      <c r="F223" s="28" t="s">
        <v>123</v>
      </c>
    </row>
    <row r="224" spans="1:8" x14ac:dyDescent="0.25">
      <c r="B224" s="19"/>
      <c r="C224" s="19"/>
      <c r="F224" s="28" t="s">
        <v>124</v>
      </c>
    </row>
    <row r="225" spans="2:4" x14ac:dyDescent="0.25">
      <c r="B225" s="19"/>
      <c r="C225" s="19"/>
    </row>
    <row r="226" spans="2:4" x14ac:dyDescent="0.25">
      <c r="B226" s="19"/>
      <c r="C226" s="19"/>
    </row>
    <row r="227" spans="2:4" x14ac:dyDescent="0.25">
      <c r="B227" s="19"/>
      <c r="C227" s="19"/>
      <c r="D227" s="19"/>
    </row>
    <row r="228" spans="2:4" x14ac:dyDescent="0.25">
      <c r="B228" s="19"/>
      <c r="C228" s="19"/>
      <c r="D228" s="19"/>
    </row>
    <row r="229" spans="2:4" x14ac:dyDescent="0.25">
      <c r="B229" s="19"/>
      <c r="C229" s="19"/>
      <c r="D229" s="19"/>
    </row>
    <row r="230" spans="2:4" x14ac:dyDescent="0.25">
      <c r="B230" s="19"/>
      <c r="C230" s="19"/>
      <c r="D230" s="19"/>
    </row>
    <row r="231" spans="2:4" x14ac:dyDescent="0.25">
      <c r="B231" s="19"/>
      <c r="C231" s="19"/>
      <c r="D231" s="19"/>
    </row>
    <row r="232" spans="2:4" x14ac:dyDescent="0.25">
      <c r="B232" s="19"/>
      <c r="C232" s="19"/>
      <c r="D232" s="19"/>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20"/>
  <sheetViews>
    <sheetView topLeftCell="A4" workbookViewId="0">
      <selection activeCell="E19" sqref="E19"/>
    </sheetView>
  </sheetViews>
  <sheetFormatPr baseColWidth="10" defaultRowHeight="15" x14ac:dyDescent="0.25"/>
  <sheetData>
    <row r="2" spans="2:5" x14ac:dyDescent="0.25">
      <c r="B2" t="s">
        <v>31</v>
      </c>
      <c r="E2" t="s">
        <v>110</v>
      </c>
    </row>
    <row r="3" spans="2:5" x14ac:dyDescent="0.25">
      <c r="B3" t="s">
        <v>32</v>
      </c>
      <c r="E3" t="s">
        <v>109</v>
      </c>
    </row>
    <row r="4" spans="2:5" x14ac:dyDescent="0.25">
      <c r="B4" t="s">
        <v>114</v>
      </c>
      <c r="E4" t="s">
        <v>111</v>
      </c>
    </row>
    <row r="5" spans="2:5" x14ac:dyDescent="0.25">
      <c r="B5" t="s">
        <v>113</v>
      </c>
    </row>
    <row r="8" spans="2:5" x14ac:dyDescent="0.25">
      <c r="B8" t="s">
        <v>70</v>
      </c>
    </row>
    <row r="9" spans="2:5" x14ac:dyDescent="0.25">
      <c r="B9" t="s">
        <v>40</v>
      </c>
    </row>
    <row r="10" spans="2:5" x14ac:dyDescent="0.25">
      <c r="B10" t="s">
        <v>41</v>
      </c>
    </row>
    <row r="13" spans="2:5" x14ac:dyDescent="0.25">
      <c r="B13" t="s">
        <v>108</v>
      </c>
    </row>
    <row r="14" spans="2:5" x14ac:dyDescent="0.25">
      <c r="B14" t="s">
        <v>102</v>
      </c>
    </row>
    <row r="15" spans="2:5" x14ac:dyDescent="0.25">
      <c r="B15" t="s">
        <v>105</v>
      </c>
    </row>
    <row r="16" spans="2:5" x14ac:dyDescent="0.25">
      <c r="B16" t="s">
        <v>103</v>
      </c>
    </row>
    <row r="17" spans="2:2" x14ac:dyDescent="0.25">
      <c r="B17" t="s">
        <v>104</v>
      </c>
    </row>
    <row r="18" spans="2:2" x14ac:dyDescent="0.25">
      <c r="B18" t="s">
        <v>106</v>
      </c>
    </row>
    <row r="19" spans="2:2" x14ac:dyDescent="0.25">
      <c r="B19" t="s">
        <v>479</v>
      </c>
    </row>
    <row r="20" spans="2:2" x14ac:dyDescent="0.25">
      <c r="B20" t="s">
        <v>107</v>
      </c>
    </row>
  </sheetData>
  <sortState xmlns:xlrd2="http://schemas.microsoft.com/office/spreadsheetml/2017/richdata2" ref="B2:B5">
    <sortCondition ref="B2:B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G18" sqref="G18"/>
    </sheetView>
  </sheetViews>
  <sheetFormatPr baseColWidth="10" defaultRowHeight="12.75" x14ac:dyDescent="0.2"/>
  <cols>
    <col min="1" max="1" width="32.85546875" style="6" customWidth="1"/>
    <col min="2" max="16384" width="11.42578125" style="6"/>
  </cols>
  <sheetData>
    <row r="3" spans="1:1" x14ac:dyDescent="0.2">
      <c r="A3" s="7" t="s">
        <v>14</v>
      </c>
    </row>
    <row r="4" spans="1:1" x14ac:dyDescent="0.2">
      <c r="A4" s="7" t="s">
        <v>15</v>
      </c>
    </row>
    <row r="5" spans="1:1" x14ac:dyDescent="0.2">
      <c r="A5" s="7" t="s">
        <v>16</v>
      </c>
    </row>
    <row r="6" spans="1:1" x14ac:dyDescent="0.2">
      <c r="A6" s="7" t="s">
        <v>10</v>
      </c>
    </row>
    <row r="7" spans="1:1" x14ac:dyDescent="0.2">
      <c r="A7" s="7" t="s">
        <v>9</v>
      </c>
    </row>
    <row r="8" spans="1:1" x14ac:dyDescent="0.2">
      <c r="A8" s="7" t="s">
        <v>19</v>
      </c>
    </row>
    <row r="9" spans="1:1" x14ac:dyDescent="0.2">
      <c r="A9" s="7" t="s">
        <v>20</v>
      </c>
    </row>
    <row r="10" spans="1:1" x14ac:dyDescent="0.2">
      <c r="A10" s="7" t="s">
        <v>22</v>
      </c>
    </row>
    <row r="11" spans="1:1" x14ac:dyDescent="0.2">
      <c r="A11" s="7" t="s">
        <v>23</v>
      </c>
    </row>
    <row r="12" spans="1:1" x14ac:dyDescent="0.2">
      <c r="A12" s="7" t="s">
        <v>25</v>
      </c>
    </row>
    <row r="13" spans="1:1" x14ac:dyDescent="0.2">
      <c r="A13" s="7" t="s">
        <v>26</v>
      </c>
    </row>
    <row r="14" spans="1:1" x14ac:dyDescent="0.2">
      <c r="A14" s="7" t="s">
        <v>27</v>
      </c>
    </row>
    <row r="16" spans="1:1" x14ac:dyDescent="0.2">
      <c r="A16" s="7" t="s">
        <v>30</v>
      </c>
    </row>
    <row r="17" spans="1:1" x14ac:dyDescent="0.2">
      <c r="A17" s="7" t="s">
        <v>31</v>
      </c>
    </row>
    <row r="18" spans="1:1" x14ac:dyDescent="0.2">
      <c r="A18" s="7" t="s">
        <v>32</v>
      </c>
    </row>
    <row r="20" spans="1:1" x14ac:dyDescent="0.2">
      <c r="A20" s="7" t="s">
        <v>40</v>
      </c>
    </row>
    <row r="21" spans="1:1" x14ac:dyDescent="0.2">
      <c r="A21" s="7"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Intructivo</vt:lpstr>
      <vt:lpstr>MAPA V5 2022</vt:lpstr>
      <vt:lpstr>Matriz Calor Inherente</vt:lpstr>
      <vt:lpstr>Matriz Calor Residual</vt:lpstr>
      <vt:lpstr>Tabla probabilidad</vt:lpstr>
      <vt:lpstr>Tabla Impacto</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Anyi Yulieth Santos Suarez</cp:lastModifiedBy>
  <cp:lastPrinted>2020-05-13T01:12:22Z</cp:lastPrinted>
  <dcterms:created xsi:type="dcterms:W3CDTF">2020-03-24T23:12:47Z</dcterms:created>
  <dcterms:modified xsi:type="dcterms:W3CDTF">2022-05-11T18:15:24Z</dcterms:modified>
</cp:coreProperties>
</file>