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hidePivotFieldList="1" defaultThemeVersion="124226"/>
  <mc:AlternateContent xmlns:mc="http://schemas.openxmlformats.org/markup-compatibility/2006">
    <mc:Choice Requires="x15">
      <x15ac:absPath xmlns:x15ac="http://schemas.microsoft.com/office/spreadsheetml/2010/11/ac" url="D:\Doc\Desktop\Nueva carpeta (2)\"/>
    </mc:Choice>
  </mc:AlternateContent>
  <xr:revisionPtr revIDLastSave="0" documentId="13_ncr:1_{D0442C55-1C70-4CF5-A691-A0B4B141E32F}" xr6:coauthVersionLast="36" xr6:coauthVersionMax="36" xr10:uidLastSave="{00000000-0000-0000-0000-000000000000}"/>
  <bookViews>
    <workbookView xWindow="0" yWindow="0" windowWidth="19200" windowHeight="606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definedNames>
    <definedName name="_xlnm._FilterDatabase" localSheetId="1" hidden="1">'Mapa final'!$A$5:$BS$60</definedName>
  </definedNames>
  <calcPr calcId="191029"/>
  <pivotCaches>
    <pivotCache cacheId="0" r:id="rId10"/>
  </pivotCaches>
</workbook>
</file>

<file path=xl/calcChain.xml><?xml version="1.0" encoding="utf-8"?>
<calcChain xmlns="http://schemas.openxmlformats.org/spreadsheetml/2006/main">
  <c r="AA31" i="1" l="1"/>
  <c r="J31" i="1"/>
  <c r="M33" i="1" l="1"/>
  <c r="N33" i="1" s="1"/>
  <c r="O33" i="1" s="1"/>
  <c r="M34" i="1"/>
  <c r="V33" i="1"/>
  <c r="S33" i="1"/>
  <c r="J33" i="1"/>
  <c r="K33" i="1" s="1"/>
  <c r="V22" i="1"/>
  <c r="V41" i="1"/>
  <c r="S41" i="1"/>
  <c r="M41" i="1"/>
  <c r="N41" i="1" s="1"/>
  <c r="J41" i="1"/>
  <c r="K41" i="1" s="1"/>
  <c r="S54" i="1"/>
  <c r="S55" i="1"/>
  <c r="AD55" i="1" s="1"/>
  <c r="AC55" i="1" s="1"/>
  <c r="S56" i="1"/>
  <c r="S57" i="1"/>
  <c r="AD57" i="1" s="1"/>
  <c r="AC57" i="1" s="1"/>
  <c r="S58" i="1"/>
  <c r="AD58" i="1" s="1"/>
  <c r="AC58" i="1" s="1"/>
  <c r="S53" i="1"/>
  <c r="V54" i="1"/>
  <c r="V55" i="1"/>
  <c r="V56" i="1"/>
  <c r="V57" i="1"/>
  <c r="V58" i="1"/>
  <c r="V59" i="1"/>
  <c r="V53" i="1"/>
  <c r="J57" i="1"/>
  <c r="K57" i="1" s="1"/>
  <c r="J56" i="1"/>
  <c r="K56" i="1" s="1"/>
  <c r="J55" i="1"/>
  <c r="K55" i="1" s="1"/>
  <c r="J54" i="1"/>
  <c r="K54" i="1" s="1"/>
  <c r="Z54" i="1" s="1"/>
  <c r="J45" i="1"/>
  <c r="K45" i="1" s="1"/>
  <c r="M55" i="1"/>
  <c r="M59" i="1"/>
  <c r="M56" i="1"/>
  <c r="M53" i="1"/>
  <c r="M57" i="1"/>
  <c r="M54" i="1"/>
  <c r="M58" i="1"/>
  <c r="M51" i="1"/>
  <c r="M52" i="1"/>
  <c r="M48" i="1"/>
  <c r="M49" i="1"/>
  <c r="M47" i="1"/>
  <c r="M45" i="1"/>
  <c r="M46" i="1"/>
  <c r="M44" i="1"/>
  <c r="Z33" i="1" l="1"/>
  <c r="AB33" i="1" s="1"/>
  <c r="AD33" i="1"/>
  <c r="AC33" i="1" s="1"/>
  <c r="P33" i="1"/>
  <c r="Z41" i="1"/>
  <c r="AB41" i="1" s="1"/>
  <c r="P41" i="1"/>
  <c r="O41" i="1"/>
  <c r="AD41" i="1" s="1"/>
  <c r="AC41" i="1" s="1"/>
  <c r="AD56" i="1"/>
  <c r="AC56" i="1" s="1"/>
  <c r="AD54" i="1"/>
  <c r="AC54" i="1" s="1"/>
  <c r="AB54" i="1"/>
  <c r="AA54" i="1"/>
  <c r="Z56" i="1"/>
  <c r="Z55" i="1"/>
  <c r="Z57" i="1"/>
  <c r="N53" i="1"/>
  <c r="N47" i="1"/>
  <c r="N46" i="1"/>
  <c r="N45" i="1"/>
  <c r="O45" i="1" s="1"/>
  <c r="AA33" i="1" l="1"/>
  <c r="AE33" i="1" s="1"/>
  <c r="AA41" i="1"/>
  <c r="AE41" i="1" s="1"/>
  <c r="AE54" i="1"/>
  <c r="AB57" i="1"/>
  <c r="AA57" i="1"/>
  <c r="AE57" i="1" s="1"/>
  <c r="AA56" i="1"/>
  <c r="AE56" i="1" s="1"/>
  <c r="AB56" i="1"/>
  <c r="AB55" i="1"/>
  <c r="AA55" i="1"/>
  <c r="AE55" i="1" s="1"/>
  <c r="P45" i="1"/>
  <c r="V7" i="1"/>
  <c r="V8" i="1"/>
  <c r="V9" i="1"/>
  <c r="V10" i="1"/>
  <c r="V11" i="1"/>
  <c r="V12" i="1"/>
  <c r="V13" i="1"/>
  <c r="V14" i="1"/>
  <c r="V15" i="1"/>
  <c r="V16" i="1"/>
  <c r="V17" i="1"/>
  <c r="V18" i="1"/>
  <c r="V19" i="1"/>
  <c r="V21" i="1"/>
  <c r="V23" i="1"/>
  <c r="V24" i="1"/>
  <c r="V25" i="1"/>
  <c r="V26" i="1"/>
  <c r="V27" i="1"/>
  <c r="V28" i="1"/>
  <c r="V29" i="1"/>
  <c r="V30" i="1"/>
  <c r="V32" i="1"/>
  <c r="V34" i="1"/>
  <c r="V35" i="1"/>
  <c r="V36" i="1"/>
  <c r="V37" i="1"/>
  <c r="V38" i="1"/>
  <c r="V39" i="1"/>
  <c r="V40" i="1"/>
  <c r="V42" i="1"/>
  <c r="V43" i="1"/>
  <c r="V44" i="1"/>
  <c r="V45" i="1"/>
  <c r="V46" i="1"/>
  <c r="V47" i="1"/>
  <c r="V48" i="1"/>
  <c r="V49" i="1"/>
  <c r="V51" i="1"/>
  <c r="V52" i="1"/>
  <c r="S7" i="1"/>
  <c r="S8" i="1"/>
  <c r="S9" i="1"/>
  <c r="S10" i="1"/>
  <c r="S11" i="1"/>
  <c r="S12" i="1"/>
  <c r="S13" i="1"/>
  <c r="S14" i="1"/>
  <c r="S15" i="1"/>
  <c r="S16" i="1"/>
  <c r="S17" i="1"/>
  <c r="S18" i="1"/>
  <c r="S19" i="1"/>
  <c r="S21" i="1"/>
  <c r="S22" i="1"/>
  <c r="S23" i="1"/>
  <c r="S24" i="1"/>
  <c r="S25" i="1"/>
  <c r="S26" i="1"/>
  <c r="S27" i="1"/>
  <c r="S28" i="1"/>
  <c r="S29" i="1"/>
  <c r="S30" i="1"/>
  <c r="S32" i="1"/>
  <c r="S34" i="1"/>
  <c r="S35" i="1"/>
  <c r="S36" i="1"/>
  <c r="S37" i="1"/>
  <c r="S38" i="1"/>
  <c r="S39" i="1"/>
  <c r="S40" i="1"/>
  <c r="S42" i="1"/>
  <c r="S43" i="1"/>
  <c r="S44" i="1"/>
  <c r="S45" i="1"/>
  <c r="S46" i="1"/>
  <c r="S47" i="1"/>
  <c r="S48" i="1"/>
  <c r="S49" i="1"/>
  <c r="S51" i="1"/>
  <c r="S52" i="1"/>
  <c r="S59" i="1"/>
  <c r="O46" i="1"/>
  <c r="O47" i="1"/>
  <c r="N48" i="1"/>
  <c r="O48" i="1" s="1"/>
  <c r="N49" i="1"/>
  <c r="O49" i="1" s="1"/>
  <c r="N51" i="1"/>
  <c r="O51" i="1" s="1"/>
  <c r="N52" i="1"/>
  <c r="O53" i="1"/>
  <c r="N59" i="1"/>
  <c r="O59" i="1" s="1"/>
  <c r="J23" i="1"/>
  <c r="K23" i="1" s="1"/>
  <c r="J24" i="1"/>
  <c r="J25" i="1"/>
  <c r="K25" i="1" s="1"/>
  <c r="J26" i="1"/>
  <c r="J27" i="1"/>
  <c r="K27" i="1" s="1"/>
  <c r="J28" i="1"/>
  <c r="J29" i="1"/>
  <c r="K29" i="1" s="1"/>
  <c r="J30" i="1"/>
  <c r="K30" i="1" s="1"/>
  <c r="J32" i="1"/>
  <c r="J34" i="1"/>
  <c r="K34" i="1" s="1"/>
  <c r="J35" i="1"/>
  <c r="J36" i="1"/>
  <c r="J37" i="1"/>
  <c r="K37" i="1" s="1"/>
  <c r="J38" i="1"/>
  <c r="J39" i="1"/>
  <c r="K39" i="1" s="1"/>
  <c r="J40" i="1"/>
  <c r="K40" i="1" s="1"/>
  <c r="J42" i="1"/>
  <c r="J43" i="1"/>
  <c r="K43" i="1" s="1"/>
  <c r="J44" i="1"/>
  <c r="K44" i="1" s="1"/>
  <c r="J46" i="1"/>
  <c r="J47" i="1"/>
  <c r="K47" i="1" s="1"/>
  <c r="J48" i="1"/>
  <c r="J49" i="1"/>
  <c r="K49" i="1" s="1"/>
  <c r="J51" i="1"/>
  <c r="J52" i="1"/>
  <c r="K52" i="1" s="1"/>
  <c r="J53" i="1"/>
  <c r="P53" i="1" s="1"/>
  <c r="J58" i="1"/>
  <c r="K58" i="1" s="1"/>
  <c r="Z58" i="1" s="1"/>
  <c r="J59" i="1"/>
  <c r="J21" i="1"/>
  <c r="K21" i="1" s="1"/>
  <c r="J22" i="1"/>
  <c r="J17" i="1"/>
  <c r="K17" i="1" s="1"/>
  <c r="J18" i="1"/>
  <c r="K18" i="1" s="1"/>
  <c r="J12" i="1"/>
  <c r="K12" i="1" s="1"/>
  <c r="J13" i="1"/>
  <c r="K13" i="1" s="1"/>
  <c r="J14" i="1"/>
  <c r="K14" i="1" s="1"/>
  <c r="J15" i="1"/>
  <c r="K15" i="1" s="1"/>
  <c r="J16" i="1"/>
  <c r="K16" i="1" s="1"/>
  <c r="J10" i="1"/>
  <c r="K10" i="1" s="1"/>
  <c r="J11" i="1"/>
  <c r="J8" i="1"/>
  <c r="K8" i="1" s="1"/>
  <c r="J9" i="1"/>
  <c r="K9" i="1" s="1"/>
  <c r="J7" i="1"/>
  <c r="K7" i="1" s="1"/>
  <c r="V6" i="1"/>
  <c r="S6" i="1"/>
  <c r="J6" i="1"/>
  <c r="K6" i="1" s="1"/>
  <c r="M42" i="1"/>
  <c r="M40" i="1"/>
  <c r="M35" i="1"/>
  <c r="M37" i="1"/>
  <c r="AB58" i="1" l="1"/>
  <c r="AA58" i="1"/>
  <c r="AE58" i="1" s="1"/>
  <c r="AD59" i="1"/>
  <c r="AC59" i="1" s="1"/>
  <c r="Z59" i="1"/>
  <c r="AA52" i="1"/>
  <c r="AD53" i="1"/>
  <c r="AC53" i="1" s="1"/>
  <c r="Z49" i="1"/>
  <c r="AD51" i="1"/>
  <c r="AC51" i="1" s="1"/>
  <c r="AD49" i="1"/>
  <c r="AC49" i="1" s="1"/>
  <c r="AD48" i="1"/>
  <c r="AC48" i="1" s="1"/>
  <c r="Z43" i="1"/>
  <c r="AD45" i="1"/>
  <c r="AC45" i="1" s="1"/>
  <c r="Z45" i="1"/>
  <c r="Z44" i="1"/>
  <c r="AD47" i="1"/>
  <c r="AC47" i="1" s="1"/>
  <c r="Z47" i="1"/>
  <c r="AD46" i="1"/>
  <c r="AC46" i="1" s="1"/>
  <c r="N44" i="1"/>
  <c r="Z37" i="1"/>
  <c r="Z40" i="1"/>
  <c r="AA40" i="1" s="1"/>
  <c r="Z39" i="1"/>
  <c r="Z34" i="1"/>
  <c r="Z30" i="1"/>
  <c r="M30" i="1"/>
  <c r="M43" i="1"/>
  <c r="M36" i="1"/>
  <c r="M39" i="1"/>
  <c r="AA59" i="1" l="1"/>
  <c r="AB59" i="1"/>
  <c r="AB52" i="1"/>
  <c r="AA49" i="1"/>
  <c r="AB49" i="1"/>
  <c r="AB45" i="1"/>
  <c r="AA45" i="1"/>
  <c r="AA47" i="1"/>
  <c r="AE47" i="1" s="1"/>
  <c r="AB47" i="1"/>
  <c r="O44" i="1"/>
  <c r="P44" i="1"/>
  <c r="Z21" i="1"/>
  <c r="AA21" i="1" s="1"/>
  <c r="M32" i="1"/>
  <c r="N32" i="1" s="1"/>
  <c r="M25" i="1"/>
  <c r="M28" i="1"/>
  <c r="M27" i="1"/>
  <c r="M26" i="1"/>
  <c r="M22" i="1" l="1"/>
  <c r="Z6" i="1" l="1"/>
  <c r="P47" i="1"/>
  <c r="AE49" i="1"/>
  <c r="AE45" i="1"/>
  <c r="AE59" i="1"/>
  <c r="P52" i="1"/>
  <c r="O52" i="1"/>
  <c r="AD52" i="1" s="1"/>
  <c r="AC52" i="1" s="1"/>
  <c r="AE52" i="1" s="1"/>
  <c r="M18" i="1"/>
  <c r="M17" i="1"/>
  <c r="M14" i="1"/>
  <c r="M21" i="1"/>
  <c r="M24" i="1"/>
  <c r="M23" i="1"/>
  <c r="M13" i="1"/>
  <c r="M16" i="1"/>
  <c r="M15" i="1"/>
  <c r="O32" i="1" l="1"/>
  <c r="AD32" i="1" s="1"/>
  <c r="AC32" i="1" s="1"/>
  <c r="N39" i="1"/>
  <c r="N36" i="1"/>
  <c r="O36" i="1" s="1"/>
  <c r="AD36" i="1" s="1"/>
  <c r="AC36" i="1" s="1"/>
  <c r="N43" i="1"/>
  <c r="N30" i="1"/>
  <c r="N37" i="1"/>
  <c r="N35" i="1"/>
  <c r="O35" i="1" s="1"/>
  <c r="AD35" i="1" s="1"/>
  <c r="AC35" i="1" s="1"/>
  <c r="N40" i="1"/>
  <c r="N34" i="1"/>
  <c r="N42" i="1"/>
  <c r="O42" i="1" s="1"/>
  <c r="AD42" i="1" s="1"/>
  <c r="AC42" i="1" s="1"/>
  <c r="P51" i="1"/>
  <c r="K51" i="1"/>
  <c r="Z51" i="1" s="1"/>
  <c r="K38" i="1"/>
  <c r="Z38" i="1" s="1"/>
  <c r="P59" i="1"/>
  <c r="K59" i="1"/>
  <c r="P48" i="1"/>
  <c r="K48" i="1"/>
  <c r="Z48" i="1" s="1"/>
  <c r="K42" i="1"/>
  <c r="Z42" i="1" s="1"/>
  <c r="K36" i="1"/>
  <c r="Z36" i="1" s="1"/>
  <c r="AB36" i="1" s="1"/>
  <c r="P49" i="1"/>
  <c r="K53" i="1"/>
  <c r="Z53" i="1" s="1"/>
  <c r="P46" i="1"/>
  <c r="K46" i="1"/>
  <c r="Z46" i="1" s="1"/>
  <c r="K35" i="1"/>
  <c r="Z35" i="1" s="1"/>
  <c r="AB35" i="1" s="1"/>
  <c r="K32" i="1"/>
  <c r="Z32" i="1" s="1"/>
  <c r="N28" i="1"/>
  <c r="O28" i="1" s="1"/>
  <c r="AD28" i="1" s="1"/>
  <c r="AC28" i="1" s="1"/>
  <c r="N27" i="1"/>
  <c r="N26" i="1"/>
  <c r="O26" i="1" s="1"/>
  <c r="AD26" i="1" s="1"/>
  <c r="AC26" i="1" s="1"/>
  <c r="N25" i="1"/>
  <c r="K28" i="1"/>
  <c r="K26" i="1"/>
  <c r="N23" i="1"/>
  <c r="P23" i="1" s="1"/>
  <c r="N17" i="1"/>
  <c r="O17" i="1" s="1"/>
  <c r="AD17" i="1" s="1"/>
  <c r="AC17" i="1" s="1"/>
  <c r="N15" i="1"/>
  <c r="O15" i="1" s="1"/>
  <c r="AD15" i="1" s="1"/>
  <c r="AC15" i="1" s="1"/>
  <c r="N24" i="1"/>
  <c r="O24" i="1" s="1"/>
  <c r="AD24" i="1" s="1"/>
  <c r="AC24" i="1" s="1"/>
  <c r="N21" i="1"/>
  <c r="P21" i="1" s="1"/>
  <c r="N16" i="1"/>
  <c r="O16" i="1" s="1"/>
  <c r="AD16" i="1" s="1"/>
  <c r="AC16" i="1" s="1"/>
  <c r="N18" i="1"/>
  <c r="O18" i="1" s="1"/>
  <c r="AD18" i="1" s="1"/>
  <c r="AC18" i="1" s="1"/>
  <c r="N13" i="1"/>
  <c r="O13" i="1" s="1"/>
  <c r="AD13" i="1" s="1"/>
  <c r="AC13" i="1" s="1"/>
  <c r="N14" i="1"/>
  <c r="O14" i="1" s="1"/>
  <c r="AD14" i="1" s="1"/>
  <c r="AC14" i="1" s="1"/>
  <c r="N22" i="1"/>
  <c r="O22" i="1" s="1"/>
  <c r="AD22" i="1" s="1"/>
  <c r="AC22" i="1" s="1"/>
  <c r="K24" i="1"/>
  <c r="K22" i="1"/>
  <c r="Z22" i="1" s="1"/>
  <c r="K11" i="1"/>
  <c r="F221" i="13"/>
  <c r="F211" i="13"/>
  <c r="F212" i="13"/>
  <c r="F213" i="13"/>
  <c r="F214" i="13"/>
  <c r="F215" i="13"/>
  <c r="F216" i="13"/>
  <c r="F217" i="13"/>
  <c r="F218" i="13"/>
  <c r="F219" i="13"/>
  <c r="F220" i="13"/>
  <c r="F210" i="13"/>
  <c r="B221" i="13" a="1"/>
  <c r="M11" i="1"/>
  <c r="M10" i="1"/>
  <c r="M7" i="1"/>
  <c r="M9" i="1"/>
  <c r="M8" i="1"/>
  <c r="AA53" i="1" l="1"/>
  <c r="AE53" i="1" s="1"/>
  <c r="AB53" i="1"/>
  <c r="AB48" i="1"/>
  <c r="AA48" i="1"/>
  <c r="AE48" i="1" s="1"/>
  <c r="AB51" i="1"/>
  <c r="AA51" i="1"/>
  <c r="AE51" i="1" s="1"/>
  <c r="AB46" i="1"/>
  <c r="AA46" i="1"/>
  <c r="AE46" i="1" s="1"/>
  <c r="P42" i="1"/>
  <c r="P36" i="1"/>
  <c r="P24" i="1"/>
  <c r="P30" i="1"/>
  <c r="O30" i="1"/>
  <c r="AD30" i="1" s="1"/>
  <c r="AC30" i="1" s="1"/>
  <c r="P39" i="1"/>
  <c r="O39" i="1"/>
  <c r="AD39" i="1" s="1"/>
  <c r="AC39" i="1" s="1"/>
  <c r="AD44" i="1"/>
  <c r="AC44" i="1" s="1"/>
  <c r="O43" i="1"/>
  <c r="AD43" i="1" s="1"/>
  <c r="AC43" i="1" s="1"/>
  <c r="P43" i="1"/>
  <c r="O34" i="1"/>
  <c r="AD34" i="1" s="1"/>
  <c r="AC34" i="1" s="1"/>
  <c r="P34" i="1"/>
  <c r="P32" i="1"/>
  <c r="P35" i="1"/>
  <c r="O40" i="1"/>
  <c r="AD40" i="1" s="1"/>
  <c r="AC40" i="1" s="1"/>
  <c r="P40" i="1"/>
  <c r="O37" i="1"/>
  <c r="AD37" i="1" s="1"/>
  <c r="AC37" i="1" s="1"/>
  <c r="P37" i="1"/>
  <c r="P28" i="1"/>
  <c r="P26" i="1"/>
  <c r="P27" i="1"/>
  <c r="O27" i="1"/>
  <c r="AD27" i="1" s="1"/>
  <c r="AC27" i="1" s="1"/>
  <c r="P25" i="1"/>
  <c r="O25" i="1"/>
  <c r="AD25" i="1" s="1"/>
  <c r="AC25" i="1" s="1"/>
  <c r="P15" i="1"/>
  <c r="P14" i="1"/>
  <c r="O21" i="1"/>
  <c r="AD21" i="1" s="1"/>
  <c r="AC21" i="1" s="1"/>
  <c r="O23" i="1"/>
  <c r="AD23" i="1" s="1"/>
  <c r="AC23" i="1" s="1"/>
  <c r="P13" i="1"/>
  <c r="P16" i="1"/>
  <c r="N9" i="1"/>
  <c r="N10" i="1"/>
  <c r="P10" i="1" s="1"/>
  <c r="N11" i="1"/>
  <c r="O11" i="1" s="1"/>
  <c r="AD11" i="1" s="1"/>
  <c r="AC11" i="1" s="1"/>
  <c r="N8" i="1"/>
  <c r="O8" i="1" s="1"/>
  <c r="AD8" i="1" s="1"/>
  <c r="AC8" i="1" s="1"/>
  <c r="N7" i="1"/>
  <c r="O7" i="1" s="1"/>
  <c r="AD7" i="1" s="1"/>
  <c r="AC7" i="1" s="1"/>
  <c r="P22" i="1"/>
  <c r="P18" i="1"/>
  <c r="P17" i="1"/>
  <c r="B221" i="13"/>
  <c r="P8" i="1" l="1"/>
  <c r="P7" i="1"/>
  <c r="O10" i="1"/>
  <c r="AD10" i="1" s="1"/>
  <c r="AC10" i="1" s="1"/>
  <c r="P11" i="1"/>
  <c r="O9" i="1"/>
  <c r="AD9" i="1" s="1"/>
  <c r="AC9" i="1" s="1"/>
  <c r="P9"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J19" i="1" l="1"/>
  <c r="K19" i="1" l="1"/>
  <c r="Z19" i="1" s="1"/>
  <c r="Z29" i="1"/>
  <c r="Z12" i="1"/>
  <c r="AB38" i="1" l="1"/>
  <c r="AA38" i="1"/>
  <c r="AA29" i="1"/>
  <c r="AB29" i="1"/>
  <c r="AA12" i="1"/>
  <c r="AB12" i="1"/>
  <c r="Z13" i="1" s="1"/>
  <c r="AB19" i="1"/>
  <c r="AA19" i="1"/>
  <c r="AB44" i="1" l="1"/>
  <c r="AA44" i="1"/>
  <c r="AE44" i="1" s="1"/>
  <c r="AB39" i="1"/>
  <c r="AA39" i="1"/>
  <c r="AE39" i="1" s="1"/>
  <c r="AB13" i="1"/>
  <c r="AA13" i="1"/>
  <c r="AE13" i="1" s="1"/>
  <c r="Z24" i="1"/>
  <c r="AA24"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A35" i="1" l="1"/>
  <c r="AE35" i="1" s="1"/>
  <c r="AB37" i="1"/>
  <c r="AA37" i="1"/>
  <c r="AE37" i="1" s="1"/>
  <c r="AB34" i="1"/>
  <c r="AA34" i="1"/>
  <c r="AE34" i="1" s="1"/>
  <c r="AB40" i="1"/>
  <c r="AE40" i="1"/>
  <c r="AA36" i="1"/>
  <c r="AE36" i="1" s="1"/>
  <c r="AE24" i="1"/>
  <c r="AB21" i="1"/>
  <c r="AE21" i="1"/>
  <c r="Z25" i="1"/>
  <c r="Z14" i="1"/>
  <c r="AB30" i="1" l="1"/>
  <c r="AA30" i="1"/>
  <c r="AE30" i="1" s="1"/>
  <c r="AB14" i="1"/>
  <c r="Z15" i="1" s="1"/>
  <c r="AA14" i="1"/>
  <c r="AE14" i="1" s="1"/>
  <c r="AB22" i="1"/>
  <c r="Z23" i="1" s="1"/>
  <c r="AA22" i="1"/>
  <c r="AE22" i="1" s="1"/>
  <c r="AB25" i="1"/>
  <c r="Z26" i="1" s="1"/>
  <c r="AA25" i="1"/>
  <c r="AE25" i="1" s="1"/>
  <c r="AB43" i="1" l="1"/>
  <c r="AA43" i="1"/>
  <c r="AE43" i="1" s="1"/>
  <c r="AB42" i="1"/>
  <c r="AA42" i="1"/>
  <c r="AE42" i="1" s="1"/>
  <c r="AB32" i="1"/>
  <c r="AA32" i="1"/>
  <c r="AE32" i="1" s="1"/>
  <c r="AB26" i="1"/>
  <c r="Z27" i="1" s="1"/>
  <c r="AA26" i="1"/>
  <c r="AE26" i="1" s="1"/>
  <c r="AB15" i="1"/>
  <c r="Z16" i="1" s="1"/>
  <c r="AA15" i="1"/>
  <c r="AE15" i="1" s="1"/>
  <c r="AB23" i="1"/>
  <c r="AA23" i="1"/>
  <c r="AE23" i="1" s="1"/>
  <c r="AA6" i="1"/>
  <c r="AB16" i="1" l="1"/>
  <c r="Z17" i="1" s="1"/>
  <c r="AA16" i="1"/>
  <c r="AE16" i="1" s="1"/>
  <c r="AB27" i="1"/>
  <c r="Z28" i="1" s="1"/>
  <c r="AB28" i="1" s="1"/>
  <c r="AA27" i="1"/>
  <c r="AE27" i="1" s="1"/>
  <c r="AA17" i="1" l="1"/>
  <c r="AE17" i="1" s="1"/>
  <c r="AB17" i="1"/>
  <c r="Z18" i="1" s="1"/>
  <c r="AA28" i="1"/>
  <c r="AE28" i="1" s="1"/>
  <c r="AB6" i="1"/>
  <c r="Z7" i="1" s="1"/>
  <c r="AA18" i="1" l="1"/>
  <c r="AE18" i="1" s="1"/>
  <c r="AB18" i="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J42" i="18" l="1"/>
  <c r="P34" i="18"/>
  <c r="AB18" i="18"/>
  <c r="AB42" i="18"/>
  <c r="AH34" i="18"/>
  <c r="P10" i="18"/>
  <c r="V34" i="18"/>
  <c r="P42" i="18"/>
  <c r="V42" i="18"/>
  <c r="AH42" i="18"/>
  <c r="AB26" i="18"/>
  <c r="AH26" i="18"/>
  <c r="V26" i="18"/>
  <c r="AB34" i="18"/>
  <c r="V10" i="18"/>
  <c r="AH18" i="18"/>
  <c r="J34" i="18"/>
  <c r="J10" i="18"/>
  <c r="AB10" i="18"/>
  <c r="J18" i="18"/>
  <c r="P26" i="18"/>
  <c r="J26" i="18"/>
  <c r="AH10" i="18"/>
  <c r="P18" i="18"/>
  <c r="V18" i="18"/>
  <c r="X42" i="18"/>
  <c r="AD34" i="18"/>
  <c r="AD10" i="18"/>
  <c r="AD26" i="18"/>
  <c r="L10" i="18"/>
  <c r="L42" i="18"/>
  <c r="L26" i="18"/>
  <c r="X18" i="18"/>
  <c r="X34" i="18"/>
  <c r="X10" i="18"/>
  <c r="R18" i="18"/>
  <c r="AJ10" i="18"/>
  <c r="AD42" i="18"/>
  <c r="AJ34" i="18"/>
  <c r="R26" i="18"/>
  <c r="L18" i="18"/>
  <c r="AJ26" i="18"/>
  <c r="AD18" i="18"/>
  <c r="R34" i="18"/>
  <c r="L34" i="18"/>
  <c r="AJ42" i="18"/>
  <c r="R10" i="18"/>
  <c r="R42" i="18"/>
  <c r="X26" i="18"/>
  <c r="AJ18" i="18"/>
  <c r="T14" i="18"/>
  <c r="AL38" i="18"/>
  <c r="N14" i="18"/>
  <c r="Z6" i="18"/>
  <c r="T38" i="18"/>
  <c r="T22" i="18"/>
  <c r="AL14" i="18"/>
  <c r="N22" i="18"/>
  <c r="AF22" i="18"/>
  <c r="N6" i="18"/>
  <c r="AF6" i="18"/>
  <c r="AF38" i="18"/>
  <c r="N38" i="18"/>
  <c r="AL30" i="18"/>
  <c r="AL22" i="18"/>
  <c r="T6" i="18"/>
  <c r="AF14" i="18"/>
  <c r="AF30" i="18"/>
  <c r="Z22" i="18"/>
  <c r="T30" i="18"/>
  <c r="Z30" i="18"/>
  <c r="AL6" i="18"/>
  <c r="Z14" i="18"/>
  <c r="Z38" i="18"/>
  <c r="N30" i="18"/>
  <c r="M38" i="1" s="1"/>
  <c r="AA7" i="1"/>
  <c r="AI6" i="19" s="1"/>
  <c r="AB7" i="1"/>
  <c r="Z8" i="1" s="1"/>
  <c r="M29" i="1" l="1"/>
  <c r="N29" i="1" s="1"/>
  <c r="M12" i="1"/>
  <c r="N12" i="1" s="1"/>
  <c r="N38" i="1"/>
  <c r="M6" i="1"/>
  <c r="N6" i="1" s="1"/>
  <c r="M19" i="1"/>
  <c r="N19" i="1" s="1"/>
  <c r="AA8" i="1"/>
  <c r="AB8" i="1"/>
  <c r="Z9" i="1" s="1"/>
  <c r="AE7" i="1"/>
  <c r="AC26" i="19"/>
  <c r="W36" i="19"/>
  <c r="AC46" i="19"/>
  <c r="W16" i="19"/>
  <c r="AC36" i="19"/>
  <c r="W26" i="19"/>
  <c r="Q16" i="19"/>
  <c r="W6" i="19"/>
  <c r="AI26" i="19"/>
  <c r="K46" i="19"/>
  <c r="Q46" i="19"/>
  <c r="AC6" i="19"/>
  <c r="K36" i="19"/>
  <c r="W46" i="19"/>
  <c r="AI16" i="19"/>
  <c r="AC16" i="19"/>
  <c r="K6" i="19"/>
  <c r="Q36" i="19"/>
  <c r="AI36" i="19"/>
  <c r="AI46" i="19"/>
  <c r="Q6" i="19"/>
  <c r="K16" i="19"/>
  <c r="K26" i="19"/>
  <c r="Q26" i="19"/>
  <c r="R32" i="18" l="1"/>
  <c r="AJ32" i="18"/>
  <c r="X8" i="18"/>
  <c r="L40" i="18"/>
  <c r="X32" i="18"/>
  <c r="AD32" i="18"/>
  <c r="L16" i="18"/>
  <c r="AJ16" i="18"/>
  <c r="AD8" i="18"/>
  <c r="X24" i="18"/>
  <c r="X16" i="18"/>
  <c r="AJ40" i="18"/>
  <c r="AD16" i="18"/>
  <c r="AD24" i="18"/>
  <c r="R40" i="18"/>
  <c r="AD40" i="18"/>
  <c r="R24" i="18"/>
  <c r="R8" i="18"/>
  <c r="X40" i="18"/>
  <c r="AJ8" i="18"/>
  <c r="L24" i="18"/>
  <c r="R16" i="18"/>
  <c r="L8" i="18"/>
  <c r="L32" i="18"/>
  <c r="AJ24" i="18"/>
  <c r="O38" i="1"/>
  <c r="AD38" i="1" s="1"/>
  <c r="AC38" i="1" s="1"/>
  <c r="AF34" i="18"/>
  <c r="AL10" i="18"/>
  <c r="N18" i="18"/>
  <c r="N26" i="18"/>
  <c r="Z26" i="18"/>
  <c r="AL42" i="18"/>
  <c r="T34" i="18"/>
  <c r="P38" i="1"/>
  <c r="AF42" i="18"/>
  <c r="AL26" i="18"/>
  <c r="T26" i="18"/>
  <c r="AL18" i="18"/>
  <c r="AL34" i="18"/>
  <c r="N34" i="18"/>
  <c r="Z18" i="18"/>
  <c r="AF18" i="18"/>
  <c r="Z42" i="18"/>
  <c r="N42" i="18"/>
  <c r="AF26" i="18"/>
  <c r="AF10" i="18"/>
  <c r="N10" i="18"/>
  <c r="Z34" i="18"/>
  <c r="T42" i="18"/>
  <c r="T18" i="18"/>
  <c r="Z10" i="18"/>
  <c r="T10" i="18"/>
  <c r="V22" i="18"/>
  <c r="AH14" i="18"/>
  <c r="V30" i="18"/>
  <c r="P38" i="18"/>
  <c r="J38" i="18"/>
  <c r="J22" i="18"/>
  <c r="P6" i="18"/>
  <c r="J30" i="18"/>
  <c r="V14" i="18"/>
  <c r="AH38" i="18"/>
  <c r="AB14" i="18"/>
  <c r="AB6" i="18"/>
  <c r="AH6" i="18"/>
  <c r="J6" i="18"/>
  <c r="P6" i="1"/>
  <c r="P14" i="18"/>
  <c r="AH30" i="18"/>
  <c r="AH22" i="18"/>
  <c r="P22" i="18"/>
  <c r="J14" i="18"/>
  <c r="AB38" i="18"/>
  <c r="O6" i="1"/>
  <c r="AD6" i="1" s="1"/>
  <c r="AC6" i="1" s="1"/>
  <c r="V6" i="18"/>
  <c r="P30" i="18"/>
  <c r="V38" i="18"/>
  <c r="AB22" i="18"/>
  <c r="AB30" i="18"/>
  <c r="AB24" i="18"/>
  <c r="V24" i="18"/>
  <c r="P40" i="18"/>
  <c r="V8" i="18"/>
  <c r="J8" i="18"/>
  <c r="J32" i="18"/>
  <c r="P19" i="1"/>
  <c r="AH40" i="18"/>
  <c r="J40" i="18"/>
  <c r="V16" i="18"/>
  <c r="P24" i="18"/>
  <c r="V32" i="18"/>
  <c r="AH24" i="18"/>
  <c r="AB32" i="18"/>
  <c r="P8" i="18"/>
  <c r="AH32" i="18"/>
  <c r="AB16" i="18"/>
  <c r="J24" i="18"/>
  <c r="O19" i="1"/>
  <c r="AD19" i="1" s="1"/>
  <c r="AC19" i="1" s="1"/>
  <c r="AB40" i="18"/>
  <c r="J16" i="18"/>
  <c r="V40" i="18"/>
  <c r="AH16" i="18"/>
  <c r="AH8" i="18"/>
  <c r="AB8" i="18"/>
  <c r="P32" i="18"/>
  <c r="P16" i="18"/>
  <c r="X6" i="18"/>
  <c r="R30" i="18"/>
  <c r="AD22" i="18"/>
  <c r="AJ14" i="18"/>
  <c r="AJ38" i="18"/>
  <c r="L22" i="18"/>
  <c r="R6" i="18"/>
  <c r="AJ30" i="18"/>
  <c r="X22" i="18"/>
  <c r="X14" i="18"/>
  <c r="R14" i="18"/>
  <c r="AJ22" i="18"/>
  <c r="AJ6" i="18"/>
  <c r="O12" i="1"/>
  <c r="AD12" i="1" s="1"/>
  <c r="AC12" i="1" s="1"/>
  <c r="AD38" i="18"/>
  <c r="AD30" i="18"/>
  <c r="AD14" i="18"/>
  <c r="P12" i="1"/>
  <c r="R22" i="18"/>
  <c r="X38" i="18"/>
  <c r="L30" i="18"/>
  <c r="AD6" i="18"/>
  <c r="X30" i="18"/>
  <c r="L38" i="18"/>
  <c r="L6" i="18"/>
  <c r="R38" i="18"/>
  <c r="L14" i="18"/>
  <c r="J44" i="18"/>
  <c r="AH20" i="18"/>
  <c r="J36" i="18"/>
  <c r="J28" i="18"/>
  <c r="AH44" i="18"/>
  <c r="V36" i="18"/>
  <c r="P12" i="18"/>
  <c r="AB28" i="18"/>
  <c r="P44" i="18"/>
  <c r="P36" i="18"/>
  <c r="AH36" i="18"/>
  <c r="AB20" i="18"/>
  <c r="V20" i="18"/>
  <c r="V44" i="18"/>
  <c r="AH28" i="18"/>
  <c r="AH12" i="18"/>
  <c r="P28" i="18"/>
  <c r="AB12" i="18"/>
  <c r="AB44" i="18"/>
  <c r="V12" i="18"/>
  <c r="AB36" i="18"/>
  <c r="J12" i="18"/>
  <c r="J20" i="18"/>
  <c r="P20" i="18"/>
  <c r="V28" i="18"/>
  <c r="O29" i="1"/>
  <c r="AD29" i="1" s="1"/>
  <c r="AC29" i="1" s="1"/>
  <c r="AF32" i="18"/>
  <c r="AF8" i="18"/>
  <c r="AL24" i="18"/>
  <c r="Z8" i="18"/>
  <c r="T32" i="18"/>
  <c r="AL32" i="18"/>
  <c r="AL8" i="18"/>
  <c r="AL16" i="18"/>
  <c r="P29" i="1"/>
  <c r="T40" i="18"/>
  <c r="T8" i="18"/>
  <c r="Z32" i="18"/>
  <c r="AL40" i="18"/>
  <c r="T16" i="18"/>
  <c r="N40" i="18"/>
  <c r="T24" i="18"/>
  <c r="N24" i="18"/>
  <c r="Z40" i="18"/>
  <c r="Z16" i="18"/>
  <c r="N32" i="18"/>
  <c r="N8" i="18"/>
  <c r="AF40" i="18"/>
  <c r="Z24" i="18"/>
  <c r="AF24" i="18"/>
  <c r="N16" i="18"/>
  <c r="AF16" i="18"/>
  <c r="AA9" i="1"/>
  <c r="AB9" i="1"/>
  <c r="Z10" i="1" s="1"/>
  <c r="X26" i="19"/>
  <c r="AE8" i="1"/>
  <c r="AJ36" i="19"/>
  <c r="AJ6" i="19"/>
  <c r="L26" i="19"/>
  <c r="L6" i="19"/>
  <c r="L16" i="19"/>
  <c r="R46" i="19"/>
  <c r="AD36" i="19"/>
  <c r="R26" i="19"/>
  <c r="AJ26" i="19"/>
  <c r="X46" i="19"/>
  <c r="X36" i="19"/>
  <c r="R36" i="19"/>
  <c r="AD46" i="19"/>
  <c r="R6" i="19"/>
  <c r="AJ46" i="19"/>
  <c r="AD26" i="19"/>
  <c r="X6" i="19"/>
  <c r="AJ16" i="19"/>
  <c r="R16" i="19"/>
  <c r="L36" i="19"/>
  <c r="AD6" i="19"/>
  <c r="L46" i="19"/>
  <c r="X16" i="19"/>
  <c r="AD16" i="19"/>
  <c r="AB41" i="19" l="1"/>
  <c r="AH51" i="19"/>
  <c r="AH21" i="19"/>
  <c r="P41" i="19"/>
  <c r="J41" i="19"/>
  <c r="V41" i="19"/>
  <c r="V11" i="19"/>
  <c r="AB51" i="19"/>
  <c r="P31" i="19"/>
  <c r="V51" i="19"/>
  <c r="J21" i="19"/>
  <c r="AB31" i="19"/>
  <c r="AB21" i="19"/>
  <c r="AH31" i="19"/>
  <c r="P21" i="19"/>
  <c r="J11" i="19"/>
  <c r="P51" i="19"/>
  <c r="V21" i="19"/>
  <c r="P11" i="19"/>
  <c r="AE29" i="1"/>
  <c r="V31" i="19"/>
  <c r="AH41" i="19"/>
  <c r="AH11" i="19"/>
  <c r="AB11" i="19"/>
  <c r="J31" i="19"/>
  <c r="J51" i="19"/>
  <c r="J15" i="19"/>
  <c r="AB15" i="19"/>
  <c r="J35" i="19"/>
  <c r="AH15" i="19"/>
  <c r="AB25" i="19"/>
  <c r="P25" i="19"/>
  <c r="V45" i="19"/>
  <c r="J45" i="19"/>
  <c r="AB45" i="19"/>
  <c r="P15" i="19"/>
  <c r="AH45" i="19"/>
  <c r="V35" i="19"/>
  <c r="AH35" i="19"/>
  <c r="P35" i="19"/>
  <c r="AH55" i="19"/>
  <c r="AB35" i="19"/>
  <c r="V25" i="19"/>
  <c r="AH25" i="19"/>
  <c r="P45" i="19"/>
  <c r="J25" i="19"/>
  <c r="J55" i="19"/>
  <c r="P55" i="19"/>
  <c r="V55" i="19"/>
  <c r="V15" i="19"/>
  <c r="AB55" i="19"/>
  <c r="P16" i="19"/>
  <c r="AH46" i="19"/>
  <c r="AB26" i="19"/>
  <c r="V26" i="19"/>
  <c r="V36" i="19"/>
  <c r="AB36" i="19"/>
  <c r="J26" i="19"/>
  <c r="V46" i="19"/>
  <c r="P46" i="19"/>
  <c r="V16" i="19"/>
  <c r="P6" i="19"/>
  <c r="AB46" i="19"/>
  <c r="AB16" i="19"/>
  <c r="AH36" i="19"/>
  <c r="AE6" i="1"/>
  <c r="AB6" i="19"/>
  <c r="J46" i="19"/>
  <c r="J16" i="19"/>
  <c r="J36" i="19"/>
  <c r="AH6" i="19"/>
  <c r="J6" i="19"/>
  <c r="AH26" i="19"/>
  <c r="P26" i="19"/>
  <c r="AH16" i="19"/>
  <c r="P36" i="19"/>
  <c r="V6" i="19"/>
  <c r="AE38" i="1"/>
  <c r="P14" i="19"/>
  <c r="AB54" i="19"/>
  <c r="J34" i="19"/>
  <c r="V54" i="19"/>
  <c r="AB14" i="19"/>
  <c r="V44" i="19"/>
  <c r="AH24" i="19"/>
  <c r="P54" i="19"/>
  <c r="V24" i="19"/>
  <c r="AH54" i="19"/>
  <c r="P24" i="19"/>
  <c r="AB34" i="19"/>
  <c r="AH34" i="19"/>
  <c r="P34" i="19"/>
  <c r="AH44" i="19"/>
  <c r="P44" i="19"/>
  <c r="AB44" i="19"/>
  <c r="V14" i="19"/>
  <c r="J44" i="19"/>
  <c r="J54" i="19"/>
  <c r="J24" i="19"/>
  <c r="V34" i="19"/>
  <c r="AH14" i="19"/>
  <c r="AB24" i="19"/>
  <c r="J14" i="19"/>
  <c r="AE12" i="1"/>
  <c r="P27" i="19"/>
  <c r="V27" i="19"/>
  <c r="P37" i="19"/>
  <c r="V7" i="19"/>
  <c r="P47" i="19"/>
  <c r="J7" i="19"/>
  <c r="AB37" i="19"/>
  <c r="AB47" i="19"/>
  <c r="AB7" i="19"/>
  <c r="V47" i="19"/>
  <c r="P7" i="19"/>
  <c r="V17" i="19"/>
  <c r="J47" i="19"/>
  <c r="AH47" i="19"/>
  <c r="J17" i="19"/>
  <c r="AH17" i="19"/>
  <c r="P17" i="19"/>
  <c r="J37" i="19"/>
  <c r="AH27" i="19"/>
  <c r="AB27" i="19"/>
  <c r="V37" i="19"/>
  <c r="J27" i="19"/>
  <c r="AH7" i="19"/>
  <c r="AB17" i="19"/>
  <c r="AH37" i="19"/>
  <c r="P9" i="19"/>
  <c r="V19" i="19"/>
  <c r="J29" i="19"/>
  <c r="AH49" i="19"/>
  <c r="V49" i="19"/>
  <c r="V29" i="19"/>
  <c r="J39" i="19"/>
  <c r="J49" i="19"/>
  <c r="AB9" i="19"/>
  <c r="AH19" i="19"/>
  <c r="AB29" i="19"/>
  <c r="V9" i="19"/>
  <c r="AB19" i="19"/>
  <c r="AH9" i="19"/>
  <c r="J9" i="19"/>
  <c r="AB49" i="19"/>
  <c r="V39" i="19"/>
  <c r="AH29" i="19"/>
  <c r="P49" i="19"/>
  <c r="AE19" i="1"/>
  <c r="P29" i="19"/>
  <c r="AB39" i="19"/>
  <c r="P19" i="19"/>
  <c r="J19" i="19"/>
  <c r="P39" i="19"/>
  <c r="AH39" i="19"/>
  <c r="AA10" i="1"/>
  <c r="AB10" i="1"/>
  <c r="Z11" i="1" s="1"/>
  <c r="M6" i="19"/>
  <c r="Y26" i="19"/>
  <c r="AK46" i="19"/>
  <c r="AK26" i="19"/>
  <c r="S6" i="19"/>
  <c r="Y16" i="19"/>
  <c r="M16" i="19"/>
  <c r="Y36" i="19"/>
  <c r="S46" i="19"/>
  <c r="M46" i="19"/>
  <c r="AE9" i="1"/>
  <c r="Y46" i="19"/>
  <c r="AK36" i="19"/>
  <c r="S26" i="19"/>
  <c r="Y6" i="19"/>
  <c r="AK6" i="19"/>
  <c r="M26" i="19"/>
  <c r="S16" i="19"/>
  <c r="M36" i="19"/>
  <c r="AE6" i="19"/>
  <c r="S36" i="19"/>
  <c r="AE26" i="19"/>
  <c r="AE36" i="19"/>
  <c r="AK16" i="19"/>
  <c r="AE46" i="19"/>
  <c r="AE16" i="19"/>
  <c r="AA11" i="1" l="1"/>
  <c r="AB11" i="1"/>
  <c r="Z36" i="19"/>
  <c r="AE10" i="1"/>
  <c r="N16" i="19"/>
  <c r="Z6" i="19"/>
  <c r="N46" i="19"/>
  <c r="AF26" i="19"/>
  <c r="Z16" i="19"/>
  <c r="AL26" i="19"/>
  <c r="N26" i="19"/>
  <c r="N6" i="19"/>
  <c r="AL46" i="19"/>
  <c r="T36" i="19"/>
  <c r="AL16" i="19"/>
  <c r="AF36" i="19"/>
  <c r="T6" i="19"/>
  <c r="AF46" i="19"/>
  <c r="AL36" i="19"/>
  <c r="T46" i="19"/>
  <c r="AL6" i="19"/>
  <c r="T26" i="19"/>
  <c r="T16" i="19"/>
  <c r="AF6" i="19"/>
  <c r="Z26" i="19"/>
  <c r="AF16" i="19"/>
  <c r="Z46" i="19"/>
  <c r="N36" i="19"/>
  <c r="AE11" i="1" l="1"/>
  <c r="AM26" i="19"/>
  <c r="AG16" i="19"/>
  <c r="O46" i="19"/>
  <c r="AM36" i="19"/>
  <c r="O6" i="19"/>
  <c r="U26" i="19"/>
  <c r="O36" i="19"/>
  <c r="U36" i="19"/>
  <c r="AM6" i="19"/>
  <c r="AM16" i="19"/>
  <c r="AG36" i="19"/>
  <c r="AA16" i="19"/>
  <c r="AG26" i="19"/>
  <c r="AG46" i="19"/>
  <c r="AA26" i="19"/>
  <c r="AA46" i="19"/>
  <c r="AG6" i="19"/>
  <c r="AA36" i="19"/>
  <c r="U16" i="19"/>
  <c r="O26" i="19"/>
  <c r="O16" i="19"/>
  <c r="AM46" i="19"/>
  <c r="U46" i="19"/>
  <c r="AA6" i="19"/>
  <c r="U6"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<sst xmlns="http://schemas.openxmlformats.org/spreadsheetml/2006/main" count="1124" uniqueCount="490">
  <si>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</si>
  <si>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</si>
  <si>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</si>
  <si>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</si>
  <si>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</si>
  <si>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</si>
  <si>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</si>
  <si>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</si>
  <si>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</si>
  <si>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</si>
  <si>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</si>
  <si>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</si>
  <si>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</si>
  <si>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</si>
  <si>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</si>
  <si>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</si>
  <si>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</si>
  <si>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</si>
  <si>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</si>
  <si>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</si>
  <si>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</si>
  <si>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</si>
  <si>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</si>
  <si>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</si>
  <si>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</si>
  <si>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</si>
  <si>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</si>
  <si>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</si>
  <si>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</si>
  <si>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</si>
  <si>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</si>
  <si>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</si>
  <si>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</si>
  <si>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</si>
  <si>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</si>
  <si>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</si>
  <si>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</si>
  <si>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</si>
  <si>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</si>
  <si>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</si>
  <si>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</si>
  <si>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</si>
  <si>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</si>
  <si>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</si>
  <si>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</si>
  <si>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</si>
  <si>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</si>
  <si>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</si>
  <si>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</si>
  <si>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</si>
  <si>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</si>
  <si>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</si>
  <si>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</si>
  <si>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</si>
  <si>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</si>
  <si>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</si>
  <si>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</si>
  <si>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</si>
  <si>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</si>
  <si>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</si>
  <si>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</si>
  <si>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</si>
  <si>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</si>
  <si>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</si>
  <si>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</si>
  <si>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</si>
  <si>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</si>
  <si>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</si>
  <si>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</si>
  <si>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</si>
  <si>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</si>
  <si>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</si>
  <si>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</si>
  <si>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</si>
  <si>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</si>
  <si>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</si>
  <si>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</si>
  <si>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</si>
  <si>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</si>
  <si>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</si>
  <si>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</si>
  <si>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</si>
  <si>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</si>
  <si>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</si>
  <si>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</si>
  <si>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</si>
  <si>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</si>
  <si>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</si>
  <si>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</si>
  <si>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</si>
  <si>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</si>
  <si>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</si>
  <si>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</si>
  <si>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</si>
  <si>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</si>
  <si>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</si>
  <si>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</si>
  <si>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</si>
  <si>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</si>
  <si>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</si>
  <si>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</si>
  <si>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</si>
  <si>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</si>
  <si>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</si>
  <si>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</si>
  <si>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</si>
  <si>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</si>
  <si>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</si>
  <si>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</si>
  <si>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</si>
  <si>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</si>
  <si>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</si>
  <si>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</si>
  <si>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</si>
  <si>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</si>
  <si>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</si>
  <si>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</si>
  <si>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</si>
  <si>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</si>
  <si>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</si>
  <si>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</si>
  <si>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</si>
  <si>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</si>
  <si>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</si>
  <si>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</si>
  <si>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</si>
  <si>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</si>
  <si>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</si>
  <si>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</si>
  <si>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</si>
  <si>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</si>
  <si>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</si>
  <si>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</si>
  <si>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</si>
  <si>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</si>
  <si>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</si>
  <si>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</si>
  <si>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</si>
  <si>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</si>
  <si>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</si>
  <si>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</si>
  <si>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</si>
  <si>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</si>
  <si>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</si>
  <si>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</si>
  <si>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</si>
  <si>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</si>
  <si>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</si>
  <si>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</si>
  <si>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</si>
  <si>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</si>
  <si>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</si>
  <si>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</si>
  <si>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</si>
  <si>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</si>
  <si>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</si>
  <si>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</si>
  <si>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</si>
  <si>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</si>
  <si>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</si>
  <si>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</si>
  <si>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</si>
  <si>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</si>
  <si>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</si>
  <si>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</si>
  <si>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</si>
  <si>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</si>
  <si>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</si>
  <si>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</si>
  <si>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</si>
  <si>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</si>
  <si>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</si>
  <si>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</si>
  <si>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</si>
  <si>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</si>
  <si>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</si>
  <si>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</si>
  <si>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</si>
  <si>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</si>
  <si>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</si>
  <si>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</si>
  <si>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</si>
  <si>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</si>
  <si>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</si>
  <si>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</si>
  <si>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</si>
  <si>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</si>
  <si>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</si>
  <si>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</si>
  <si>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</si>
  <si>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</si>
  <si>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</si>
  <si>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</si>
  <si>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</si>
  <si>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</si>
  <si>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</si>
  <si>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</si>
  <si>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</si>
  <si>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</si>
  <si>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</si>
  <si>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</si>
  <si>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</si>
  <si>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</si>
  <si>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</si>
  <si>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</si>
  <si>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</si>
  <si>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</si>
  <si>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</si>
  <si>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</si>
  <si>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</si>
  <si>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</si>
  <si>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</si>
  <si>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GESTIÓN ADMINISTRATIVA</t>
  </si>
  <si>
    <t>Área:</t>
  </si>
  <si>
    <t>TALENTO HUMANO</t>
  </si>
  <si>
    <t>TICS</t>
  </si>
  <si>
    <t>MANTENIMIENTO</t>
  </si>
  <si>
    <t>GESTIÓN DOCUMENTAL</t>
  </si>
  <si>
    <t>ALMACÉN</t>
  </si>
  <si>
    <t>PLANEACIÓN</t>
  </si>
  <si>
    <t>DIRECCIONAMIENTO ESTRATÉGICO</t>
  </si>
  <si>
    <t>CULTURA VIAL</t>
  </si>
  <si>
    <t>CONTROL VIAL</t>
  </si>
  <si>
    <t>CDA</t>
  </si>
  <si>
    <t>GESTIÓN DE AUDITORÍA</t>
  </si>
  <si>
    <t>OFICINA DE CONTROL INTERNO Y GESTION</t>
  </si>
  <si>
    <t>GESTIÓN DE LA INFORMACION TICS</t>
  </si>
  <si>
    <t>PRENSA</t>
  </si>
  <si>
    <t>GESTIÓN FINANCIERA</t>
  </si>
  <si>
    <t>FINANCIERA</t>
  </si>
  <si>
    <t>GESTION JURIDICA</t>
  </si>
  <si>
    <t>ASESOR JURÍDICA</t>
  </si>
  <si>
    <t>JEFE JURÌDICA</t>
  </si>
  <si>
    <t>CONTRATACIÓN</t>
  </si>
  <si>
    <t>INSTITUCIONAL</t>
  </si>
  <si>
    <t>ALTA DIRECCIÓN</t>
  </si>
  <si>
    <t>PLANEAMIENTO VIAL</t>
  </si>
  <si>
    <t>REGISTRO DE LA INFORMACION</t>
  </si>
  <si>
    <t>LICENCIAS</t>
  </si>
  <si>
    <t>SERVICIO AL CLIENTE</t>
  </si>
  <si>
    <t>SISTEMAS INTEGRADOS DE GESTION</t>
  </si>
  <si>
    <t>CALIDAD</t>
  </si>
  <si>
    <t>Incumplimiento al Programa Anual de Auditoría de la Oficina de Control Interno y Gestión.</t>
  </si>
  <si>
    <t xml:space="preserve">Debilitamiento del Sistema de Control Interno   </t>
  </si>
  <si>
    <t>* Tablero de control.
* Seguimiento a la ejecución del Programa de Auditorias con el equipo interdisciplinario de la OCI.</t>
  </si>
  <si>
    <t>Jefe Oficina de Control Interno y Gestión</t>
  </si>
  <si>
    <t xml:space="preserve">*Personal Interdisciplinario insuficiente. 
* Insuficiencia de recursos tecnológicos. 
* Falta de planeación en las actividades.
* Desconocimiento de la norma.
* Dificultad de acceso a la información.
</t>
  </si>
  <si>
    <t>Realizar 3 mesas de trabajo durante la vigencia 2023, con el fin de conocer el avance de cumplimiento al Programa Anual de Auditoría y tomar las medidas necesarias para llegar a su cabal cumplimiento.</t>
  </si>
  <si>
    <t>SEGURIDAD Y SALUD EN EL TRABAJO</t>
  </si>
  <si>
    <t xml:space="preserve">CONTROL INTERNO DISCIPLINARIO </t>
  </si>
  <si>
    <t xml:space="preserve">Investigaciones y/o sanciones por los entes de control </t>
  </si>
  <si>
    <t>Presupuesto limitado para el desarrollo de actividades de bienestar y de capacitación, conforme a necesidades identificadas.</t>
  </si>
  <si>
    <t>Incumplimiento al Programa Anual de bienestar y capacitaciiones de la DTB para el 2023.</t>
  </si>
  <si>
    <t>Radicación de incapacidades sin el cumplimiento de los requisitos exigidos por la EPS.</t>
  </si>
  <si>
    <t xml:space="preserve">Recepción de incapacidades por parte de funcionarios no transcritas y que no cuenten con los datos requeridos e información anexa solicitada por es para transcripción.
Incumplimiento con lo establecido en decreto 780 de 2016:
- Cuando el cotizante no hubiere efectuado aportes por un mínimo de cuatro (4) semanas.
- Las incapacidades se originen en tratamientos con fines estéticos o se encuentran excluidos del plan de beneficios y sus complicaciones. </t>
  </si>
  <si>
    <t>Posibilidad de generar pérdida económica por la negación del reconocimiento de las incapacidades debido al incumplimiento de los requisitos exigidos por la EPS.</t>
  </si>
  <si>
    <t>Inconsistencias en la información registrada en certificación electrónica de tiempos laborados (CETIL)</t>
  </si>
  <si>
    <t>Ilegibilidad de información en las nóminas o inexistencia de soportes documentales para la expedición de certificación electrónica de tiempos laborados (CETIL)</t>
  </si>
  <si>
    <t>Posibilidad de generar pérdida económica y reputacional por queja, reclamo, tutela o demanda del usuario o ente regulador debido  a inconsistencias en la emisión de la certificación electrónica de tiempos laborados (CETIL).</t>
  </si>
  <si>
    <t>Incumplimiento en la entrega de las incapacidades por parte de Talento Humano.</t>
  </si>
  <si>
    <t>No cobro oportuno de las incapacidades generadas por accidentes o enfermedad laboral a la ARL.</t>
  </si>
  <si>
    <t>Posibilidad de generar un daño fiscal por el no cobro de incapacidades a la ARL y/o incumplimiento en la entrega de las mismas por parte de talento humano.</t>
  </si>
  <si>
    <t>Falta de seguimiento y control al Plan de trabajo del sistema de gestión de seguridad y salud en el trabajo.</t>
  </si>
  <si>
    <t>Falta de recursos económicos, técnicos y de talento humano requeridos para cumplir con el Plan de trabajo.</t>
  </si>
  <si>
    <t>Posibilidad de incumplir con el plan de trabajo por la carencia de los recursos requeridos o seguimiento al plan de trabajo.</t>
  </si>
  <si>
    <t>Ausencia de material probatorio necesario para adelantar las investigaciones disciplinarias de los servidores publicos de la Dirección de Tránsito de Bucaramanga.</t>
  </si>
  <si>
    <t>Ausencia de personal capacitado para solicitar y entregar las pruebas necesarias.</t>
  </si>
  <si>
    <t>Posibilidad de generar reprocesos en el área por el incumplimiento en los tiempos de la entrega de pruebas para las diferentes etapas procesales.</t>
  </si>
  <si>
    <t>Ausencia de personal para suplir con todas las solicitudes generadas por parte de la entidad en general.</t>
  </si>
  <si>
    <t xml:space="preserve">Carencia  de recursos suficientes para diseñar un plan de mantenimiento anual de la DTB
</t>
  </si>
  <si>
    <t>No poder cumplir con todas las solicitudes de mantenimiento locativo por la falta de recursos y personal asignado para área de mantenimiento</t>
  </si>
  <si>
    <t>Falta de aplicación de las TRD</t>
  </si>
  <si>
    <t>Falta de apropiación de los funcionarios y/o colaboradores en los temas de Gestión documental</t>
  </si>
  <si>
    <t>Posibilidad de tener alto volumen de documentos sin organizar por falta de aplicación de las TRD a raíz de la falta de apropiación de los funcionarios y/o colabores en los temas de Gestión documental</t>
  </si>
  <si>
    <t>Insuficiente desarrollo de las actividades descritas en el Sistema Integrado de Conservación Documental (SIC) de la DTB</t>
  </si>
  <si>
    <t>Falta de recursos financieros asignados que garantizan el cumplimiento de este programa</t>
  </si>
  <si>
    <t>Posibilidad de presentar pérdida de la integridad de la información física (deterioro) de los documentos que reposan en el archivo central por un insuficiente desarrollo de las actividades descritas en el Sistema Integrado de Conservación documental (SIC) de la DTB a raíz de falta de recursos financieros asignados que garantizan el cumplimiento de este programa.</t>
  </si>
  <si>
    <t>Falta de mecanismos de seguridad que permitan salvaguardar la información física.
Falta de espacio para el procesamiento y almacenamiento de los archivos físicos.</t>
  </si>
  <si>
    <t>Posibilidad de presentar pérdida de documentos físicos en  oficinas gestoras y en el archivo central por falta de mecanismos de seguridad que permitan salvaguardar la información física, y poco espacio físico para la ubicación de los archivos a raíz de falta de recursos financieros suficientes para el programa de gestión documental de la entidad</t>
  </si>
  <si>
    <t>Falta de concentración por parte del funcionario.
Variedad de actividades a realizar en el mismo momento.</t>
  </si>
  <si>
    <t>Error de digitación por parte del funcionario.</t>
  </si>
  <si>
    <t>Posibilidad de digitar erróneamente un ingreso o egreso al software de bienes de consumo y devolutivos por parte del funcionario encargado de dicha labor.</t>
  </si>
  <si>
    <t>* Tener un presupuesto asignado para la  vigencia 2023  con la prioridad en las capacitaciones requeridas.
* Llevar el control de todas la capacitaciones realizadas.</t>
  </si>
  <si>
    <t>El asesor de talento humano, mensualmente verifica que todas las incapacidades reportadas por las dependencias esten radicadas en la EPS correspondiente.</t>
  </si>
  <si>
    <t>El asesor de Talento Humano valida que la información esté completa y correctamente transcrita en los datos de la Certificación Electrónica de Tiempos Laborados.</t>
  </si>
  <si>
    <t>La persona encargada del proceso solicita por correo electronico al área de talento humano las incapcidades generadas al 30 de cada mes</t>
  </si>
  <si>
    <t>La persona encargada realiza seguimiento por medio de informes al plan de trabajo para dar cumplimiento oportuno a las actividades asignadas.</t>
  </si>
  <si>
    <t>La auxiliar administrativa lleva una base de datos de control de procesos y quejas disciplinarias donde se registran las diferentes actuaciones, para cada etapa procesal de los casos que están en curso. Ese cuadro contiene nombre del investigado, contra quien va dirigido, fecha de radicado, fecha de los hechos, fecha de inicio de indagación, fecha de archivo, entre otros.</t>
  </si>
  <si>
    <t>*El encargado del área, por medio del plan  de mantenimiento institucional, realiza el seguimiento de los elementos, rubros y materiales asigandos para cumplir con las solicitudes enviadas por las áreas de la DTB.
*El encargado del área hace uso de los rubros de mantenimiento, materiales y suministros para el cumplimiento del plan de mantenimiento de la DTB</t>
  </si>
  <si>
    <t xml:space="preserve">* La funcionaria encargada distribuye de manera equitativa a su equipo de trabajo CPS, de manera que apoyen a las diferentes oficinas en la organización documental.
</t>
  </si>
  <si>
    <t xml:space="preserve">La funcionaria encargada lleva un registro escrito de las jornadas de limpieza, fumigaciones y mantenimiento que se realizan en el archivo central.
*La funcionaria encargada realiza capacitación a todo el personal de la DTB cada semestre, sobre buenas prácticas de manipulación documental </t>
  </si>
  <si>
    <t xml:space="preserve">* La funcionaria encargada de la gestión documental lleva una planilla para el registro de los préstamos y consultas,  controlando lo que entra y sale de la oficina.
* La funcionaria encargada de la gestión actualiza y verifica cada mes el inventario de la documentación registrada en el archivo central.
</t>
  </si>
  <si>
    <t xml:space="preserve">Realizar un cronograma anual del programa de capacitaciones y bienestar de la DTB </t>
  </si>
  <si>
    <t>Jefe Talento Humano</t>
  </si>
  <si>
    <t>El Asesor en cargodo de las incapacidades, realizara mensualmente la conciliación de los pagos efectuados por concepto de incapacidades que son remitidos por Grupo de Gestión Financiera, contra el registro de incapacidades del Grupo de Gestión Humana.</t>
  </si>
  <si>
    <t>Actualización del protocolo de búsqueda de la información para la emisión del formulario único electrónico de certificación de tiempos laborados.</t>
  </si>
  <si>
    <t>El encargado por medio de memorandos solicitará al área de talento humano con tiempo límite, el envío de las incapacidades.</t>
  </si>
  <si>
    <t>lider del proceso</t>
  </si>
  <si>
    <t>Se solicitara por medio de memorandos al área de talento humano el envío de las incapacidades.</t>
  </si>
  <si>
    <t>La auxiliar administrativa, el profesional especializado junto con la oficina asesora de calidad realizará actualización del cuadro de control de quejas y procesos de control interno disciplinario el cual debe contener las etapas procesales y dentro del cuadro de observaciones registrar las actuaciones que se le han realizado a cada proceso.</t>
  </si>
  <si>
    <t>Auxiliar administrativa y profesional especializado de control interno disciplinario.</t>
  </si>
  <si>
    <t>*El encargado del área llevara el control  del plan  de mantenimiento institucional, en el cual registrara los cumplimientos y avances realizados de cada mejora locativa</t>
  </si>
  <si>
    <t>Deficiencia en la infraestructura tecnológica para el cumplimiento de la prestación de los servicios de la Dirección de Tránsito de Bucaramanga</t>
  </si>
  <si>
    <t>Falta de recursos financieros para la adquisición, soporte y mantenimiento de la infraestructura tecnológica de hardware y software necesario en el desarrollo de los procesos internos de la entidad.</t>
  </si>
  <si>
    <r>
      <t xml:space="preserve">Posibilidad de afectación económica y reputacional por la deficiencia en la infraestructura tecnológica para el cumplimiento eficaz y eficiente  en la prestación de los servicios de la DTB  
</t>
    </r>
    <r>
      <rPr>
        <sz val="11"/>
        <color indexed="10"/>
        <rFont val="Arial Narrow"/>
        <family val="2"/>
      </rPr>
      <t xml:space="preserve">
</t>
    </r>
  </si>
  <si>
    <t>Perdida de la información y retrasos en los procesos</t>
  </si>
  <si>
    <t>Manejo no adecuado de la  información que genera la entidad por falta de la implementación de estandares y buenas practicas de seguridad de la información de la entidad.</t>
  </si>
  <si>
    <t>Posibilidad de afectación económica y reputacional a causa de la perdida de la información debido al tratamiento no adecuado de la información que maneja la entidad por falta de la implementación de estándares y buenas prácticas de seguridad de la información.</t>
  </si>
  <si>
    <t>Disminucion en la prestacion de soporte tecnico a todas las dependiencias y usuarios internos de la entidad.</t>
  </si>
  <si>
    <t xml:space="preserve">La no atención oportuna de soporte a los requerimientos técnicos requeridos por las distintas dependencias de la de la DTB </t>
  </si>
  <si>
    <t>Posibilidad de afectación reputacional por disminución en los niveles de servicio y satisfacción de los usuarios internos de la entidad debido a la no atención oportuna de soporte a los requerimientos técnicos requeridos por las distintas dependencias de la DTB</t>
  </si>
  <si>
    <t xml:space="preserve">*Insuficiencia  de  recursos  tecnológicos.
* Falta de trazabilidad al estado de trámite de respuesta a las PQRSD.
* No asignación de personal competentes para la solución y/o respuestas de las PQRSD.         </t>
  </si>
  <si>
    <t>Falta de personal idóneo del derecho y normatividad legal vigente para soluciones y/o respuestas a PQRSD.</t>
  </si>
  <si>
    <t>Posibilidad de incumplir con las normas legales vigentes en las respuestas extemporáneas a las PQRSD presentadas por la Ciudadanía y Entes externos.</t>
  </si>
  <si>
    <t>Acceso, publicación y/o modificación no autorizada a las cuentas de la Dirección de Tránsito de Bucaramanga en las redes sociales.</t>
  </si>
  <si>
    <t>Ausencia del antivirus o falta de renovación del mismo en los equipos desde los 
cuales se manejan las redes sociales</t>
  </si>
  <si>
    <t>Posibilidad de publicar información errónea en las redes sociales de la Dirección de Tránsito de Bucaramanga, por acceso no autorizado a las cuentas institucionales y/o ausencia del antivirus en los equipos utilizados para el manejo de redes sociales, generando incongruencias y riesgo de pérdida de información</t>
  </si>
  <si>
    <t>* El jefe de la oficina asesora de sistemas identificara las necesidades de cada área con el fin de solicitar los recursos necesarios para el mantenimiento de equipos, impresoras y elementos tecnologicos.</t>
  </si>
  <si>
    <t>* El profesional encargado de Seguridad de la información valida que las políticas de acceso a la información se encuentren actualizadas a las necesidades de la entidad y acorde a la normatividad legal vigente. 
* El profesional encargado facilita que los servidores públicos y contratistas de la entidad conozcan y apliquen los aspectos referentes a la seguridad de los datos incluidos en la política de tratamiento de datos personales de la entidad.</t>
  </si>
  <si>
    <t>El profesional asigando  llevara un registro  de los requerimientos de soporte que lleguen al área de sistemas y estara pendiente de que todos se realicen en los tiempos establecidos a través de la generación de  indicadores de atención.</t>
  </si>
  <si>
    <t>El jefe de la oficina asesora de sistemas realiza seguimiento a los correos enviados por el sistema PQRSD, y delega a los contratistas y funcionarios encargados, para dar respuesta oportuna dentro de los términos establecidos.</t>
  </si>
  <si>
    <t>La Asesora grado 02 realizara cambio de  contraseñas de las redes sociales cada mes, como medida de prevención.</t>
  </si>
  <si>
    <t>Realizar un adecuado planeamiento y gestión en el Plan Anual de Adquisiciones; para contar con los recursos necesarios para establecer un seguimiento continuo de mantenimiento y soporte técnico de la infraestructura tecnológica de la DTB, con el propósito de atender oportunamente las incidencias y novedades presentadas.</t>
  </si>
  <si>
    <t>Jefe Oficina de sistemas</t>
  </si>
  <si>
    <t xml:space="preserve">
Realizar dos (2)  capacitaciones,  una a nivel directivo y otra a nivel de usuarios con respecto a las políticas de seguridad de la información.</t>
  </si>
  <si>
    <t>Realizar un (1) informe semestral del nivel de cumplimiento de las solicitudes de soporte técnico y  requerimientos de sistemas de información.</t>
  </si>
  <si>
    <t>El jefe de la oficina asesora de sistemas realizará 2 capacitaciones en el 2023 a su equipo de trabajo para dar una respuesta oportuna, y clara a las PQRSD asiganas por el área de atención al ciudadano, entregando acta y listado de asistencia.</t>
  </si>
  <si>
    <t xml:space="preserve">Modificación periódica de las contraseñas de las redes sociales de la DTB.
</t>
  </si>
  <si>
    <t>Asesora grado 02</t>
  </si>
  <si>
    <t>El auxiliar administrativo revisa dos veces antes de guardar el bien devolutivo de consumo en el software, verificando el nombre, la descripción y cantidades.</t>
  </si>
  <si>
    <t>Formulación incorrecta por parte de las oficinas gestoras de las acciones a ejecutar.</t>
  </si>
  <si>
    <t xml:space="preserve">Falta de compromiso por parte de las oficinas gestoras para dar respuesta oportuna a las actividades realizadas en el plan de acción institucional.
</t>
  </si>
  <si>
    <t>Posibilidad de incumplir con las metas programadas en el Plan de Acción institucional, por la falta de compromiso por parte de las áreas de la dirección de tránsito de Bucaramanga.</t>
  </si>
  <si>
    <t xml:space="preserve">La persona encargada del área de planeación realiza Mesas de trabajo  con todas las áreas, formulando las acciones correspondientes al plan de acción. </t>
  </si>
  <si>
    <t>Falta de transporte para la movilidad del material pedagógico y de logística.</t>
  </si>
  <si>
    <t>Ausencia de talento humano de planta para cumplir con las capacitaciones.</t>
  </si>
  <si>
    <t>Posibilidad de incumplir con las capacitaciones programadas dentro de las guías de promotores de cultura vial, por falta de personal asignado para cumplir dichas actividades y/o de la movilidad asignada para el traslado de los elementos pedagógicos y de logística.</t>
  </si>
  <si>
    <t xml:space="preserve">Incumplimiento en la acreditación por el Organismo Nacional de Acreditación de Colombia - ONAC, bajo la norma ISO/IEC 17065 o la que la modifique, adicione o sustituya. </t>
  </si>
  <si>
    <t>Ausencia del talento humano que debe poseer certificado como instructor en conducción, acreditar experiencia mínima de dos (2) años como docente, instructor de conducción o ser técnico profesional en seguridad vial, acreditando el título a través de entidad docente autorizada por el Ministerio de Educación.</t>
  </si>
  <si>
    <t>Posibilidad de incumplir con las capacitaciones a infractores de las normas de tránsito, programadas en el CIA por falta de la acreditación según la Resolución 11355 del 21 agosto de 2020, por ausencia de talento humano certificado y/o incumplimiento en la acreditación por la ONAC.</t>
  </si>
  <si>
    <t>La líder del proceso realiza una planeación semanal de todas las capacitaciones pendiente para realizar.</t>
  </si>
  <si>
    <t>El líder del proceso solicita mediante un oficio al área de Talento humano, verificar las hojas de vida de todo el personal quienes cumplen con el requisito generado por la ONAC, bajo la norma ISO/IEC 17065 o la que la modifique, adicione o sustituya.
Actualmente se cuenta con un instructor técnico profesional en seguridad vial con certificados vigentes.</t>
  </si>
  <si>
    <t>Especializado de cultura vial</t>
  </si>
  <si>
    <t xml:space="preserve">El líder del proceso solicitará si es necesario, apoyo al comandante del grupo de control vial para suplir la ausencia de algún personal asignado para cumplir con las capacitaciones.
</t>
  </si>
  <si>
    <t>Si el área de Talento Humano no puede facilitar el presonasl adecuado, se debe contratar de inmediato un instructor que cumpla con las competencias que exige la  norma.</t>
  </si>
  <si>
    <t>Ausencia de personal idoneo para cubrir las diferentes novedades presentada.</t>
  </si>
  <si>
    <t>Carencia de recursos económicos establecidos para contratar personal idoneo para cubrir las novedades que se puedan llegar a presentar</t>
  </si>
  <si>
    <t>Posibilidad de no reportar las novedades en la prestación de las órdenes de servicios por ausencia de personal idoneo  para cubrir el mismo.</t>
  </si>
  <si>
    <t>El comandante encargado asigna el personal de acuerdo a las necesidades solicitadas en términos de ausencia.</t>
  </si>
  <si>
    <t>Generar una inspección errónea voluntaria o involuntariamente, que quede registrada en el Sistema de control y vigilancia (SICOV), causando una investigación por parte de la superintendencia de transporte.</t>
  </si>
  <si>
    <t>Ausencia de competencias de formación por parte de los inspectores y directores técnicos.
Falencias en el mantenimiento y calibración de los equipos de inspección mecanizadas.</t>
  </si>
  <si>
    <t xml:space="preserve">Posibilidad de perder la acreditación como organismo de inspección, por el desconocimiento normativo por parte del jefe de la oficina asesora CDA, ausencia de competencias de formación de inspectores y el no aseguramiento de los recursos para el mantenimiento y calibración de equipos. 
</t>
  </si>
  <si>
    <t>El asesor de calidad del CDA, realiza una lista chequeo de acuerdo al procedimient de inspección de los ítems verificados y registrados por las cámaradas del sistemas de control y vigilancia SICOV, para establecer especial cuidado a la revisión de cada uno de estos.</t>
  </si>
  <si>
    <t>Jefe de la oficina asesora CDA</t>
  </si>
  <si>
    <t xml:space="preserve">*El Asesor de calidad del CDA, actualizará el procedimiento de inspección de vehículos haciendo especial connotación en los ítems controlados por SICOV, a través de cámaras.
*Se realizaran capacitaciones al presonal asignado 
*Se realizará actualización técnica y electrócnicas de los equipos de inspección, así como la actualización del software de realización de pruebas. Fichas técnicas, manual del software y certificados de calibración actualizados.
</t>
  </si>
  <si>
    <t>Errores humanos al momento de emitir manualmente los RP o CDP de la siguiente vigencia.</t>
  </si>
  <si>
    <t>Limitación del sistema XENCO para dividir cada vigencia.
Ausencia de recursos disponibles para dar tratamiento al sistema XENCO.</t>
  </si>
  <si>
    <t>Probabilidad de generar errores en los saldos presupuestales disponibles, para emitir los documentos requeridos ya que hay limitaciones en el sistema XENCO para dividir cada vigencia y así evitar errores humanos al momento de emitir manualmente los RP o CDP de la siguiente vigencia.</t>
  </si>
  <si>
    <t xml:space="preserve">Aumento de los traslados presupuestales en la vigencia.
Demoras en los pagos de las obligaciones contraídas por omitir el PAC.
</t>
  </si>
  <si>
    <t>Incumplimiento en la planeación del PAC de la vigencia.</t>
  </si>
  <si>
    <r>
      <rPr>
        <sz val="11"/>
        <color indexed="8"/>
        <rFont val="Arial Narrow"/>
        <family val="2"/>
      </rPr>
      <t>Posibilidad de Omitir el Plan Anual Mensualizado de caja en el análisis presupuestal de la vigencia, por el aumento de los traslados presupuestales y /o demoras en los pagos de las obligaciones contraídas.</t>
    </r>
    <r>
      <rPr>
        <sz val="11"/>
        <color indexed="10"/>
        <rFont val="Arial Narrow"/>
        <family val="2"/>
      </rPr>
      <t xml:space="preserve">
</t>
    </r>
  </si>
  <si>
    <t xml:space="preserve">El contratista asignado se reúne con el contador y el encargado de la elaboración de los CDP Y RP ( el tiempo que no tiene contrato el proveedor ), para organizar y evitar errores al momento de suministrar la información al sistema XENCO mientras éste es contratado.
</t>
  </si>
  <si>
    <t>El contratista encargado junto a la tesorera, realizan reuniones semestrales para determinar los traslados presupuestales y establecer con cuanto capital cuenta la entidad para el siguiente semestre.</t>
  </si>
  <si>
    <t>Incumplimiento en los tiempos estipulados por parte de las áreas encargadas.</t>
  </si>
  <si>
    <t xml:space="preserve">Falta de gestión por parte del asesor jurídico para el reparto adecuado y tiempo estipulado al área correspondiente para dar respuesta.
</t>
  </si>
  <si>
    <t>Posibilidad de vencer los términos en el trámite de las tutelas, por incumplimientos en los términos establecidos.</t>
  </si>
  <si>
    <t>Exceso de procesos pendientes por cumplir en los que hace parte la entidad.</t>
  </si>
  <si>
    <t>Ausencia de personal idóneo suficiente para atender los procesos requeridos.</t>
  </si>
  <si>
    <t xml:space="preserve">Posibilidad de generar sanciones legales y pecuniarias a la entidad por inasistencia a las audicias penales. </t>
  </si>
  <si>
    <t>Tiempos limitados para proyectar y/o revisar los actos administrativos correspondientes.</t>
  </si>
  <si>
    <t>Ausencia de personal con experciencia en el tema para realizar la proyección y/o revisión de los actos administrativos.</t>
  </si>
  <si>
    <t>Posibilidad de cometer errores jurídicos en la proyección y/o revisión de actos administrativos por ausencia de personal con experciencia en el tema y/o tiempos limitados para cumplir con las actividades.</t>
  </si>
  <si>
    <t>Altas Operaciones en la plataforma del Sistema Electrónico de contratación SECOP II.
Equipos de cómputo sin mantenimiento.</t>
  </si>
  <si>
    <t xml:space="preserve">Aumento de Usurarios trabajando al mismo tiempo en procesos contractuales en la plataforma, colapsando el funcionamiento del servidor.
</t>
  </si>
  <si>
    <t>Posibilidad de impedir la publicación de los procesos en la plataforma del Sistema Electrónico de Contratación SECOP II, por las altas concurrencias en la misma, dificultando publicar procesos contractuales transaccionalmente, generando reprocesos en los trámites documentales internos y de aprobaciones.</t>
  </si>
  <si>
    <t xml:space="preserve">*Falta de compromiso por parte de los contratistas.
</t>
  </si>
  <si>
    <t>*Falta de seguimiento a los procesos contractuales por parte del supervisor.</t>
  </si>
  <si>
    <t>Posibilidad de presentar extemporáneamente o no las garantías, en la etapa de ejecución, por la falta de compromiso y /o seguimiento de los contratistas y supervisores.</t>
  </si>
  <si>
    <t>* Falta de seguimiento y control a los abogados externos por parte de la oficina jurídica, que llevan los procesos de las demandas.</t>
  </si>
  <si>
    <t>*Ausencia de Abogados de planta capacitados para dar respuesta a dichos trámites.</t>
  </si>
  <si>
    <t>Posibilidad de vencer involuntariamente los términos en el trámite procesal de las demandas en contra de la DTB, por ausencia de abogados de planta capacitados y/o seguimiento a los abogados externos que llevan los procesos de las demandas.</t>
  </si>
  <si>
    <t>La abogada contratista encargada lleva el control del cuadro de litigios.</t>
  </si>
  <si>
    <t>El asesor jurídico encargado lleva Control del Libro radicado, un Excel denominado cuadro control de tutelas año vigente y un archivo evidenciando a que área se remite la información.</t>
  </si>
  <si>
    <t>La secretaria de la oficina lleva un control de todas las citaciones y/o requerimientos de los juzgados o la fiscalía.</t>
  </si>
  <si>
    <t>La jefe jurídica realizar un filtro jurídico de todos los actos administrativos proyectados y/o revisados por su equipo de trabajo, comprobando la veracidad de la información.
Cuando son actos administrativos pendientes por revisar, los abogados asignados realizar el primer filtro y por último pasa a la jefe jurídica.</t>
  </si>
  <si>
    <t>La funcionaria asiganada realiza las publicaciones en el la plataforma del SECOP II, en ¨hora valle¨ para su mayor fluidez en la ejecución de la actividad.</t>
  </si>
  <si>
    <t>La funcionaria y secretaria ejecutiva llevan un control interno de los contratos que requieren garantía y actualización de las mismas.</t>
  </si>
  <si>
    <t>Crear y publicar por medio de una circular un cronograma con los temas y tiempos estipulados para la entrega y/o revisión de los actos administrativos por parte de las área gestoras de la DTB.</t>
  </si>
  <si>
    <t>La persona encargada del proceso realizará estandarización por medio de un formato codificado, donde indique número de contrato, nombre del contratista, pólizas requeridas, clase de políza y si es de presentación o actualización, llevando así un mejor control de los contratos que requieren garantías.</t>
  </si>
  <si>
    <t>Jefe de Oficina Juridica</t>
  </si>
  <si>
    <t>Secretaria ejecutiva de la oficina de contratación</t>
  </si>
  <si>
    <t>Falta de personal para realizar la revisión de los documentos antes de subir la información al SECOP II</t>
  </si>
  <si>
    <t>Publicación errada de información  en el SECOP II</t>
  </si>
  <si>
    <t>Publicar informacion de manera errada en la plata del SECOP II lo cual genera reprocesos en las áreas involucradas.</t>
  </si>
  <si>
    <t>La persona encarga de las publicaciones en el SECOP II debera verificar muy bien los documentos con la información registrada en la plataforma</t>
  </si>
  <si>
    <t>*Malas prácticas y/o costumbres en la trazabilidad de las evidencias que reposan expedientes contractuales.
* Desinterés en asistir a las capacitaciones del manejo del Sistema Electrónico de Contratación SECOP II.</t>
  </si>
  <si>
    <t>*Inadecuado ejercicio en la supervisión de contratos y exigencia del cumplimiento a los contratistas
*Falta de compromiso y sentido de pertenencia con la entidad.</t>
  </si>
  <si>
    <t xml:space="preserve">Posibilidad de incumplir en las obligaciones y tipos de vigilancia, por parte de los funcionarios designados como supervisores, que pueden conllevar a irregularidades, incumplimientos, hallazgos, sanciones disciplinarias y penales. </t>
  </si>
  <si>
    <t>La Asesora Grado 02 de la Oficina Asesora De Contratación, por medio de circulares y memorandos les recuerda a cada supervisor la importancia del rol que tienen como líderes de procesos contractuales, respecto a la ejecución del contrato, liquidación de los mismos,  la publicación de los informes de los contratistas y supervisión, entre otros, de la misma manera los invita a asistir a las capacitaciones que se realizan mensualmente.</t>
  </si>
  <si>
    <t>Incumplimiento en la entrega de los informes por las dependencias responsables 
Desconocimiento en el manejo de las plataformas por parte del responsable</t>
  </si>
  <si>
    <t xml:space="preserve">Demoras en la consolidación de la información por las dependencias </t>
  </si>
  <si>
    <t>Posibilidad de incumplir en la publicación de los informes de rendición de cuentas a los entes de control por el incumplimiento en la entrega de los informes por las dependencias responsable y el desconocimiento del uso de las plataformas.</t>
  </si>
  <si>
    <t>La funcionaria encargada lleva un registro escrito de las jornadas de limpieza, fumigaciones y mantenimiento que se realizan en el archivo central.</t>
  </si>
  <si>
    <t>La dirección general mediante un acto administrativo, realiza la delegación de los responsables de la DTB para la rendición de cuentas ante la Contraloria  Municipal y se dictan otras dispociciones.</t>
  </si>
  <si>
    <t xml:space="preserve">La alta dirección por medio de memorandos y/o correos electrónicos solicita a cada responsable la presentación del informe antes de las fechas establecidas.
</t>
  </si>
  <si>
    <t>Alta dirección</t>
  </si>
  <si>
    <t>Falta de planeación por parte de la oficina gestora y/o demás Oficinas competentes para el cumplimiento del Plan de Desarrollo.                                         
Ausencia de aprobación y/o gestión en la ejecución de las actividades necesarias para el plan de desarrollo por parte de Entidades y/o secretarias del orden municipal de Bucaramanga.</t>
  </si>
  <si>
    <t>Ausencia de recursos para dar cumplimiento al Plan de Desarrollo Municipal. 
Falta de personal y/o recurso humano necesario para dar cumplimiento a las actividades asignadas en el Plan de Desarrollo</t>
  </si>
  <si>
    <t xml:space="preserve">Posibilidad de Incumplir con las metas propuestas en el Plan de Desarrollo por la falta de recursos y/o gestión en el recaudo de actividades propias del mismo.           </t>
  </si>
  <si>
    <t>Fallas técnicas en el sistema de semaforización en el municipio.</t>
  </si>
  <si>
    <t>Fallas en el suministro de energía eléctrica para el servicio de red semafórica.</t>
  </si>
  <si>
    <t xml:space="preserve">Posibilidad de presentar caída del servicio de la red semafórica por falta de programación de mantenimiento preventivo y/o correctivo en el sistema general de semaforización. </t>
  </si>
  <si>
    <t>Falta de planeación de la Oficina Gestora en la programación y/o gestión del mantenimiento a la señalización existente del Municipio de Bucaramanga</t>
  </si>
  <si>
    <t>Falta de recursos para poder efectuar la contratación del recurso humano y/o materiales, elementos y accesorios para el debido mantenimiento preventivo a la señalización vial del Municipio de Bucaramanga</t>
  </si>
  <si>
    <t>Posibilidad de presentar deterioro o falta de señalización en el municipio de Bucaramanga por la ausencia de Recursos presupuestales que permita garantizar la disponibilidad del recurso humano y materiales necesarias para el cumplimiento de la programación preventiva a la señalización existente del Municipio de Bucaramanga.</t>
  </si>
  <si>
    <t>El Coordinador del grupo de planeamiento vial realiza seguimiento de forma escrita trimestralmente a las metas propuestas en el plan de desarrollo.</t>
  </si>
  <si>
    <t xml:space="preserve">*La oficina de señalización realiza programación semanal de actividades de reposición y/o implementación de nueva señalización en las diferentes comunas y/o sectores del municipio de Bucaramanga.
*La oficina de señalización realiza Informe mensual de avance de ejecución en las actividades. </t>
  </si>
  <si>
    <t>Efectuar por lo menos dos (2) visitas técnicas en el año, a intersecciones semaforizadas que no tenga problemas de funcionamiento y/o operación con el fin de adelantar el mantenimiento preventivo y así reducir fallas durante el paso del tiempo, por medio de una ficha técnica de revisión de mantenimiento preventivo ( Excel).</t>
  </si>
  <si>
    <t>planeamiento vial</t>
  </si>
  <si>
    <t>Actividades ilícitas por parte de los clientes externos para obtener dichos insumos sin autorización.</t>
  </si>
  <si>
    <t>No se cuenta con la seguridad adecuada para e resguardo de cintas holográficas y sustratos.</t>
  </si>
  <si>
    <t>Posibilidad de perder voluntaria e involuntariamente las cintas holográficas y sustratos para la impresión de licencias de conducción por falta de seguridad para el resguardo de las mismas.</t>
  </si>
  <si>
    <t>Incorrecta proyección de la cantidad requerida en insumos y maquinaria.</t>
  </si>
  <si>
    <t>Ausencia de presupúesto para la compra de nuevos equipos e insumos.</t>
  </si>
  <si>
    <t>Posibilidad de generar retrasos en el proceso por culminación de la vida últil de los equipos de licencias de condución y agotamiento de los insumos para la impresión de las licencias.</t>
  </si>
  <si>
    <t xml:space="preserve">La líder del proceso controla por medio de un registro, los insumos en los formatos FT-RINF-003 Control de cintas y FT-RINF-004.                               
Los  insumos (sustratos y cintas) se guardan en archivador, el cual cuenta con llave y acceso solo al líder del proceso.                                                                                                                 </t>
  </si>
  <si>
    <t xml:space="preserve">El área de licecnias realiza la proyección de los insumos a utilizar en la vigencia y envía sistemas para su aprobación y validación.
</t>
  </si>
  <si>
    <t>El área de licencias, solicitará a la dirección general por medio de un memorando la instalación de cámaras de seguridad para cubrir la zona donde se encuentran los insumos y monitorear el manejo del mismo.</t>
  </si>
  <si>
    <t>Licencias enviará un memorando a dirección general con copia a sistemas y contratación, requiriendo las necesidades para continuar con el proceso, ya que se están agotando las existencias de la vigencia pasada, año 2021.</t>
  </si>
  <si>
    <t>Licencias</t>
  </si>
  <si>
    <t xml:space="preserve">Falta de compromiso por parte de los funcionarios encargados en dar respuesta oportuna a dicha peticiones.
</t>
  </si>
  <si>
    <t>Sobre carga laboral en los funcionarios de planta, por demoras en la contracción de personal CPS.</t>
  </si>
  <si>
    <t>Posibilidad de generar inconformidad por parte de los usuarios, entes de control, administrativos y judiciales, por la respuesta inoportuna de las áreas pertinentes de la DTB y/o  sobre carga laboral en los funcionarios de planta, por demoras en la contracción de personal CPS.</t>
  </si>
  <si>
    <t>Agotamiento físico por parte de los funcionarios y/o asesores que cumplen con el proceso de atención al usuario.</t>
  </si>
  <si>
    <t>Ausencia de personal con la actitud adecuada para cumplir con las actividades de atención al usuario.</t>
  </si>
  <si>
    <t>Posibilidad de generar inconformidad al usuario que es atendido directamente por cualquiera de los funcionarios la DTB, por ausencia de personal con la actitud adecuada para cumplir con las actividades y/o agotamiento físico por parte de los mismos.</t>
  </si>
  <si>
    <t xml:space="preserve">El líder de la oficina de Atención al cliente solicita al área pertinente, por medio de circulares informativas, dar respuesta oportuna a las PQRS próximas a vencer.
</t>
  </si>
  <si>
    <t>El auxiliar administrativo realiza diariamente la encuentra de satisfacción al cliente aleatoriamente a los usuarios que son atendidos directamente en la DTB.</t>
  </si>
  <si>
    <t>Realizar una capacitación cuatrimestral a los funcionarios de la DTB que tienen contacto directo con los usuarios en atención al cliente.</t>
  </si>
  <si>
    <t>Líder del Proceso de Atención al Usuario</t>
  </si>
  <si>
    <t>Incumplimiento de los requisitos del Sistema integrado de gestión de calidad y ambiental</t>
  </si>
  <si>
    <t>Desconocimiento o negligencia de los colaboradores sobre los procedimientos y/o programas establecidos en el Sistema integrado de gestión de calidad y ambiental.
Falta de recursos para ejecutar actividades del sistema.</t>
  </si>
  <si>
    <t>Posibilidad de perder el certificado del sistema de gestión de calidad y ambiental por incumplimiento de los requisitos del Sistema de gestión de calidad y ambiental debido a la falta, desconocimiento o negligencia de los colaboradores sobre los procedimientos y/o programas establecidos en el Sistema integrado de gestión de calidad y ambiental.</t>
  </si>
  <si>
    <t>El Asesor de calidad anualmente realiza inducción y/o reinducción de los sistemas de gestión a los colaboradores de la Entidad</t>
  </si>
  <si>
    <t>El asesor de calidad anualmente audita los procesos de la Entidad.</t>
  </si>
  <si>
    <t>El asesor de calidad mensualmente, trimestralmente, semestralmente o anualmente,  realiza seguimiento y reporte de los indicadores ambientales establecidos en los programas ambientales.</t>
  </si>
  <si>
    <t>Los líderes los procesos establecen planes de mejoramiento cuando se detecten no conformidades u oportunidades de mejora.</t>
  </si>
  <si>
    <t>El Asesor de calidad realiza seguimiento mensual al reporte de los indicadores de gestión que realizan desde cada uno de los procesos de la Entidad</t>
  </si>
  <si>
    <t>El Asesor de calidad realiza capacitaciones y sensibilizaciones permanentes sobre los aspecto e impactos ambientales</t>
  </si>
  <si>
    <t xml:space="preserve">Falta de organización en el proceso de contratación </t>
  </si>
  <si>
    <t>Inadecuada ejecución de los procesos de contratacón</t>
  </si>
  <si>
    <t>Jefe de contratación</t>
  </si>
  <si>
    <t>La persona encargada del proceso de contratación debera realizar un plan de trabajo en cual priorice el proceso de contratación de acuerdo a las necesidades de funcionamiento de la entidad en los tiempos y requerimientos estipulados.</t>
  </si>
  <si>
    <t>La persona encargada de la contratación debera entregar un cronograma del proceso de contratación de acuerdo a las necesidades de funcionamiento de la entidad en tiempos estipulados.</t>
  </si>
  <si>
    <t>El incumplimiento en la entrega oportuna de los planes de trabajo  y envio de la informacion a los diferentes entes de control en los tiempos requeridos.</t>
  </si>
  <si>
    <t>Falta de seguimiento al procedimiento institucional documentado PR-CTRL-011 versión 2, Junio 2022, frente a la imposición de órdenes de comparendo por Beodez
Archivo del proceso por prescripción de la acción de cobro.
Desconocimiento de la Norma (Resolución 1844 del 18 de diciembre del 2015) y la ley 1996 del 2013.</t>
  </si>
  <si>
    <t xml:space="preserve">Incumplimiento a los procedimientos operativos por parte del personal de la Policía Nacional y alcohosensoristas de la Dirección de tránsito de Bucaramanga.
</t>
  </si>
  <si>
    <t>Posibilidad de disminuir en la efectividad de los comparendos de Beodez, correspondientes a la categoría F.</t>
  </si>
  <si>
    <t xml:space="preserve">El comandate general realiza socialización de procedimiento para la imposición de órdenes de comparendo por Beodez., cada semana. </t>
  </si>
  <si>
    <t xml:space="preserve">Comandante General </t>
  </si>
  <si>
    <t>El comandate general realiza capacitación semanal  del procedimiento para la imposición de órdenes de comparendos por Beodez. ( listado de asistencia )</t>
  </si>
  <si>
    <t>Incumplimiento en los Informes Contables a los Entes de Control de acuerdo con las fechas y términos de ley establecidos</t>
  </si>
  <si>
    <t>Falta de planificación de las actividades de contable</t>
  </si>
  <si>
    <t xml:space="preserve">Entrega de información extemporanea a los entes de control 
</t>
  </si>
  <si>
    <t xml:space="preserve">Insuficiente desarrollo de las actividades descritas en el Sistema Integrado de Conservación Documental (SIC) de la DTB
</t>
  </si>
  <si>
    <t xml:space="preserve">*El Grupo técnico de la Oficina de Semaforización del Grupo de Planeamiento Vial de la DTB, adelanta un reporte semanal y un informe mensual  detallado de las diferentes gestiones adelantadas en ese periodo en donde se especifica cada una de las actividades ejecutadas del mantenimiento preventivo y/o correctivo efectuado sobre la red semafórica del municipio de Bucaramanga.                                 
*La Oficina de Semaforización de forma anual adelanta el proceso de contratación directa con la empresa propietaria de la tecnología de la Central de Semaforización del Municipio de Bucaramanga, lo anterior con el fin de dar estricto cumplimiento a las recomendaciones y garantizar el buen y debido estado de esta central que repercute con la operación y funcionalidad de la red semafórica en general del Municipio de Bucaramanga. </t>
  </si>
  <si>
    <t>Realizar visitas periodicas, a los barrios y/o comunas con el fin de evidenciar las necesidades básicas y apremiantes que cuentan estos sectores en material de señalización vial teniendo en cuenta la limitación de la disponibilidad presupuestal de la Entidad para este rubro. 
Entregable: Ficha técnica de control de necesidad por sector  y/o informes.</t>
  </si>
  <si>
    <t>Realizar una socialización cuatrimestral a todos los responsable de dar respuesta a cada solicitud, sobre la importancia del cumplimiento de los indicadores de las PQRS para la DTB.</t>
  </si>
  <si>
    <t xml:space="preserve">OBSERVACION </t>
  </si>
  <si>
    <t xml:space="preserve">El riesgo afecta la imagen de la entidad y la confinza del usuario </t>
  </si>
  <si>
    <t xml:space="preserve">Posibilidad de inconformidad al usurario en brindar la orientación e información  oportuna de los trámites de la DTB  </t>
  </si>
  <si>
    <t xml:space="preserve">Falta de un punto de orientación al usurario  y personal encarcago del mismo </t>
  </si>
  <si>
    <t xml:space="preserve">El líder de la Oficina de Atención al Cliente, debe solicitar al área encargada la adecuación del espacio fisico y el peersonal para atender a los usuarios 
</t>
  </si>
  <si>
    <t>alta</t>
  </si>
  <si>
    <t>mayor</t>
  </si>
  <si>
    <t>alto</t>
  </si>
  <si>
    <t xml:space="preserve">Realizar las solicitudes a las áreas compententes para atender la solicitud por parte de la entidad </t>
  </si>
  <si>
    <t>01/31/2024</t>
  </si>
  <si>
    <t xml:space="preserve">Posibilidad de daño, perdida e imagen institucional por el uso indebido o mal estado de los vehículos asignados </t>
  </si>
  <si>
    <t xml:space="preserve">Alta </t>
  </si>
  <si>
    <t xml:space="preserve">Establecer un procedimiento que permita aplicarlo, con seguimiento adecaudo y activiades establecidas </t>
  </si>
  <si>
    <t xml:space="preserve">Carencia de recursos económicos y personal establecido para aplicar el procedimiento del uso y cuidado de los vehiculos asignados al personal de la DTB y detectar las falencias encontradas con los controles </t>
  </si>
  <si>
    <t xml:space="preserve">El comandante elabora y codifica el procedimiento junto con las actividades que le permitan revisar el uso y cuidado de los vehiculos al personal asignado </t>
  </si>
  <si>
    <t xml:space="preserve">Cartera que no corresponde a los estados financieros de la entidad </t>
  </si>
  <si>
    <t xml:space="preserve">Falta de depuración y prescripciones de oficio de inventarios con incidencia en los estados financieros </t>
  </si>
  <si>
    <t xml:space="preserve">Probabilidad de sanciones de los entes de control por no contar con la información financiera real de la entidad </t>
  </si>
  <si>
    <t xml:space="preserve">El área fianciera realiza el informe del estado real de cartera de la entidad.                                                                                                                                                                                            </t>
  </si>
  <si>
    <t xml:space="preserve">Impacto </t>
  </si>
  <si>
    <t xml:space="preserve">Falta de organización en la atención al usurio en cuanto a orientación de los trámites de la entidad. </t>
  </si>
  <si>
    <t xml:space="preserve">Actualización del procedimiento que regule el uso y cuidado de los vehículos asignados al personal de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</si>
</sst>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color indexed="10"/>
      <name val="Arial Narrow"/>
      <family val="2"/>
    </font>
    <font>
      <sz val="11"/>
      <color rgb="FFFF0000"/>
      <name val="Arial Narrow"/>
      <family val="2"/>
    </font>
    <font>
      <sz val="11"/>
      <color indexed="8"/>
      <name val="Arial Narrow"/>
      <family val="2"/>
    </font>
    <font>
      <sz val="11"/>
      <color theme="2" tint="-0.89999084444715716"/>
      <name val="Arial Narrow"/>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s>
  <borders count="8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op>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thin">
        <color theme="9"/>
      </left>
      <right style="thin">
        <color theme="9"/>
      </right>
      <top/>
      <bottom/>
      <diagonal/>
    </border>
    <border>
      <left style="thin">
        <color theme="9"/>
      </left>
      <right style="thin">
        <color theme="9"/>
      </right>
      <top/>
      <bottom style="thin">
        <color theme="9"/>
      </bottom>
      <diagonal/>
    </border>
    <border>
      <left/>
      <right style="thin">
        <color theme="9"/>
      </right>
      <top/>
      <bottom/>
      <diagonal/>
    </border>
    <border>
      <left/>
      <right style="thin">
        <color theme="9"/>
      </right>
      <top/>
      <bottom style="thin">
        <color theme="9"/>
      </bottom>
      <diagonal/>
    </border>
    <border>
      <left/>
      <right style="thin">
        <color rgb="FFFF9900"/>
      </right>
      <top style="thin">
        <color rgb="FFFF9900"/>
      </top>
      <bottom style="thin">
        <color rgb="FFFF9900"/>
      </bottom>
      <diagonal/>
    </border>
    <border>
      <left style="thin">
        <color theme="9"/>
      </left>
      <right style="thin">
        <color theme="9"/>
      </right>
      <top style="thin">
        <color rgb="FFFF9900"/>
      </top>
      <bottom style="thin">
        <color theme="9"/>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right>
      <top style="thin">
        <color theme="9"/>
      </top>
      <bottom/>
      <diagonal/>
    </border>
    <border>
      <left style="thin">
        <color theme="9" tint="-0.249977111117893"/>
      </left>
      <right style="thin">
        <color theme="9"/>
      </right>
      <top/>
      <bottom/>
      <diagonal/>
    </border>
    <border>
      <left style="thin">
        <color theme="9" tint="-0.249977111117893"/>
      </left>
      <right style="thin">
        <color theme="9"/>
      </right>
      <top/>
      <bottom style="thin">
        <color theme="9"/>
      </bottom>
      <diagonal/>
    </border>
    <border>
      <left style="thin">
        <color theme="9" tint="-0.249977111117893"/>
      </left>
      <right style="thin">
        <color theme="9" tint="-0.249977111117893"/>
      </right>
      <top style="thin">
        <color theme="9" tint="-0.249977111117893"/>
      </top>
      <bottom/>
      <diagonal/>
    </border>
    <border>
      <left/>
      <right style="thin">
        <color theme="9"/>
      </right>
      <top style="thin">
        <color theme="9"/>
      </top>
      <bottom/>
      <diagonal/>
    </border>
  </borders>
  <cellStyleXfs count="5">
    <xf numFmtId="0" fontId="0" fillId="0" borderId="0"/>
    <xf numFmtId="9" fontId="14" fillId="0" borderId="0" applyFont="0" applyFill="0" applyBorder="0" applyAlignment="0" applyProtection="0"/>
    <xf numFmtId="0" fontId="47" fillId="0" borderId="0"/>
    <xf numFmtId="0" fontId="48" fillId="0" borderId="0"/>
    <xf numFmtId="0" fontId="5" fillId="0" borderId="0"/>
  </cellStyleXfs>
  <cellXfs count="42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2"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4"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4"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4"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9" fillId="3" borderId="41" xfId="2" applyFont="1" applyFill="1" applyBorder="1"/>
    <xf numFmtId="0" fontId="49" fillId="3" borderId="42" xfId="2" applyFont="1" applyFill="1" applyBorder="1"/>
    <xf numFmtId="0" fontId="49" fillId="3" borderId="43" xfId="2" applyFont="1" applyFill="1" applyBorder="1"/>
    <xf numFmtId="0" fontId="16" fillId="3" borderId="0" xfId="0" applyFont="1" applyFill="1" applyAlignment="1">
      <alignment vertical="center"/>
    </xf>
    <xf numFmtId="0" fontId="5" fillId="3" borderId="0" xfId="0" applyFont="1" applyFill="1"/>
    <xf numFmtId="0" fontId="36" fillId="3" borderId="0" xfId="0" applyFont="1" applyFill="1"/>
    <xf numFmtId="0" fontId="37" fillId="3" borderId="24" xfId="0" applyFont="1" applyFill="1" applyBorder="1" applyAlignment="1">
      <alignment horizontal="center" vertical="center" wrapText="1" readingOrder="1"/>
    </xf>
    <xf numFmtId="0" fontId="38" fillId="3" borderId="24" xfId="0" applyFont="1" applyFill="1" applyBorder="1" applyAlignment="1">
      <alignment horizontal="justify" vertical="center" wrapText="1" readingOrder="1"/>
    </xf>
    <xf numFmtId="9" fontId="37" fillId="3" borderId="33" xfId="0" applyNumberFormat="1" applyFont="1" applyFill="1" applyBorder="1" applyAlignment="1">
      <alignment horizontal="center" vertical="center" wrapText="1" readingOrder="1"/>
    </xf>
    <xf numFmtId="0" fontId="37" fillId="3" borderId="23" xfId="0" applyFont="1" applyFill="1" applyBorder="1" applyAlignment="1">
      <alignment horizontal="center" vertical="center" wrapText="1" readingOrder="1"/>
    </xf>
    <xf numFmtId="0" fontId="38" fillId="3" borderId="23" xfId="0" applyFont="1" applyFill="1" applyBorder="1" applyAlignment="1">
      <alignment horizontal="justify" vertical="center" wrapText="1" readingOrder="1"/>
    </xf>
    <xf numFmtId="9" fontId="37" fillId="3" borderId="28" xfId="0" applyNumberFormat="1" applyFont="1" applyFill="1" applyBorder="1" applyAlignment="1">
      <alignment horizontal="center" vertical="center" wrapText="1" readingOrder="1"/>
    </xf>
    <xf numFmtId="0" fontId="38" fillId="3" borderId="28"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8" fillId="3" borderId="30" xfId="0" applyFont="1" applyFill="1" applyBorder="1" applyAlignment="1">
      <alignment horizontal="justify" vertical="center" wrapText="1" readingOrder="1"/>
    </xf>
    <xf numFmtId="0" fontId="38" fillId="3" borderId="31" xfId="0" applyFont="1" applyFill="1" applyBorder="1" applyAlignment="1">
      <alignment horizontal="center" vertical="center" wrapText="1" readingOrder="1"/>
    </xf>
    <xf numFmtId="0" fontId="46" fillId="3" borderId="0" xfId="0" applyFont="1" applyFill="1"/>
    <xf numFmtId="0" fontId="37" fillId="15" borderId="35" xfId="0" applyFont="1" applyFill="1" applyBorder="1" applyAlignment="1">
      <alignment horizontal="center" vertical="center" wrapText="1" readingOrder="1"/>
    </xf>
    <xf numFmtId="0" fontId="37" fillId="15" borderId="36" xfId="0" applyFont="1" applyFill="1" applyBorder="1" applyAlignment="1">
      <alignment horizontal="center" vertical="center" wrapText="1" readingOrder="1"/>
    </xf>
    <xf numFmtId="0" fontId="13" fillId="3" borderId="0" xfId="0" applyFont="1" applyFill="1"/>
    <xf numFmtId="0" fontId="31"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9" fillId="3" borderId="7"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49" fillId="3" borderId="0" xfId="2" applyFont="1" applyFill="1"/>
    <xf numFmtId="0" fontId="49" fillId="3" borderId="8" xfId="2" applyFont="1" applyFill="1" applyBorder="1"/>
    <xf numFmtId="0" fontId="49" fillId="3" borderId="9" xfId="2" applyFont="1" applyFill="1" applyBorder="1"/>
    <xf numFmtId="0" fontId="49" fillId="3" borderId="11" xfId="2" applyFont="1" applyFill="1" applyBorder="1"/>
    <xf numFmtId="0" fontId="49" fillId="3" borderId="10" xfId="2" applyFont="1" applyFill="1" applyBorder="1"/>
    <xf numFmtId="0" fontId="53"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1" fillId="3" borderId="7"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8" xfId="2" quotePrefix="1" applyFont="1" applyFill="1" applyBorder="1" applyAlignment="1">
      <alignment horizontal="left" vertical="top" wrapText="1"/>
    </xf>
    <xf numFmtId="0" fontId="1" fillId="0" borderId="65" xfId="0" applyFont="1" applyBorder="1"/>
    <xf numFmtId="0" fontId="4" fillId="2" borderId="65" xfId="0" applyFont="1" applyFill="1" applyBorder="1" applyAlignment="1">
      <alignment horizontal="center" vertical="center"/>
    </xf>
    <xf numFmtId="0" fontId="1" fillId="0" borderId="65" xfId="0" applyFont="1" applyBorder="1" applyAlignment="1">
      <alignment horizontal="center" vertical="center"/>
    </xf>
    <xf numFmtId="0" fontId="1" fillId="0" borderId="65" xfId="0" applyFont="1" applyBorder="1" applyAlignment="1" applyProtection="1">
      <alignment vertical="top" wrapText="1"/>
      <protection locked="0"/>
    </xf>
    <xf numFmtId="0" fontId="2" fillId="0" borderId="65" xfId="0" applyFont="1" applyBorder="1" applyAlignment="1" applyProtection="1">
      <alignment vertical="top" wrapText="1"/>
      <protection locked="0"/>
    </xf>
    <xf numFmtId="0" fontId="1" fillId="0" borderId="65" xfId="0" applyFont="1" applyBorder="1" applyAlignment="1" applyProtection="1">
      <alignment vertical="top"/>
      <protection locked="0"/>
    </xf>
    <xf numFmtId="0" fontId="4" fillId="0" borderId="65" xfId="0" applyFont="1" applyBorder="1" applyAlignment="1" applyProtection="1">
      <alignment vertical="top" wrapText="1"/>
      <protection hidden="1"/>
    </xf>
    <xf numFmtId="9" fontId="1" fillId="0" borderId="65" xfId="0" applyNumberFormat="1" applyFont="1" applyBorder="1" applyAlignment="1" applyProtection="1">
      <alignment vertical="top" wrapText="1"/>
      <protection hidden="1"/>
    </xf>
    <xf numFmtId="9" fontId="1" fillId="0" borderId="65" xfId="0" applyNumberFormat="1" applyFont="1" applyBorder="1" applyAlignment="1" applyProtection="1">
      <alignment vertical="top" wrapText="1"/>
      <protection locked="0"/>
    </xf>
    <xf numFmtId="0" fontId="4" fillId="0" borderId="65" xfId="0" applyFont="1" applyBorder="1" applyAlignment="1" applyProtection="1">
      <alignment vertical="top"/>
      <protection hidden="1"/>
    </xf>
    <xf numFmtId="0" fontId="1" fillId="0" borderId="65" xfId="0" applyFont="1" applyBorder="1" applyAlignment="1">
      <alignment horizontal="center" vertical="top"/>
    </xf>
    <xf numFmtId="0" fontId="6" fillId="0" borderId="65" xfId="0" applyFont="1" applyBorder="1" applyAlignment="1" applyProtection="1">
      <alignment horizontal="justify" vertical="top" wrapText="1"/>
      <protection locked="0"/>
    </xf>
    <xf numFmtId="0" fontId="1" fillId="0" borderId="65" xfId="0" applyFont="1" applyBorder="1" applyAlignment="1" applyProtection="1">
      <alignment horizontal="center" vertical="top"/>
      <protection hidden="1"/>
    </xf>
    <xf numFmtId="0" fontId="1" fillId="0" borderId="65" xfId="0" applyFont="1" applyBorder="1" applyAlignment="1" applyProtection="1">
      <alignment horizontal="center" vertical="top" textRotation="90"/>
      <protection locked="0"/>
    </xf>
    <xf numFmtId="9" fontId="1" fillId="0" borderId="65" xfId="0" applyNumberFormat="1" applyFont="1" applyBorder="1" applyAlignment="1" applyProtection="1">
      <alignment horizontal="center" vertical="top"/>
      <protection hidden="1"/>
    </xf>
    <xf numFmtId="164" fontId="1" fillId="0" borderId="65" xfId="1" applyNumberFormat="1" applyFont="1" applyBorder="1" applyAlignment="1">
      <alignment horizontal="center" vertical="top"/>
    </xf>
    <xf numFmtId="0" fontId="4" fillId="0" borderId="65" xfId="0" applyFont="1" applyBorder="1" applyAlignment="1" applyProtection="1">
      <alignment horizontal="center" vertical="top" textRotation="90" wrapText="1"/>
      <protection hidden="1"/>
    </xf>
    <xf numFmtId="0" fontId="4" fillId="0" borderId="65" xfId="0" applyFont="1" applyBorder="1" applyAlignment="1" applyProtection="1">
      <alignment horizontal="center" vertical="top" textRotation="90"/>
      <protection hidden="1"/>
    </xf>
    <xf numFmtId="0" fontId="1" fillId="0" borderId="65" xfId="0" applyFont="1" applyBorder="1" applyAlignment="1" applyProtection="1">
      <alignment horizontal="justify" vertical="top"/>
      <protection locked="0"/>
    </xf>
    <xf numFmtId="0" fontId="1" fillId="0" borderId="65" xfId="0" applyFont="1" applyBorder="1" applyAlignment="1">
      <alignment horizontal="center" vertical="center" wrapText="1"/>
    </xf>
    <xf numFmtId="0" fontId="1" fillId="0" borderId="65" xfId="0" applyFont="1" applyBorder="1" applyAlignment="1" applyProtection="1">
      <alignment horizontal="center" vertical="top" wrapText="1"/>
      <protection locked="0"/>
    </xf>
    <xf numFmtId="0" fontId="1" fillId="0" borderId="65" xfId="0" applyFont="1" applyBorder="1" applyAlignment="1" applyProtection="1">
      <alignment horizontal="center" vertical="top"/>
      <protection locked="0"/>
    </xf>
    <xf numFmtId="0" fontId="4" fillId="2" borderId="65" xfId="0" applyFont="1" applyFill="1" applyBorder="1" applyAlignment="1">
      <alignment horizontal="center" vertical="center" textRotation="90"/>
    </xf>
    <xf numFmtId="14" fontId="1" fillId="0" borderId="65" xfId="0" applyNumberFormat="1" applyFont="1" applyBorder="1" applyAlignment="1" applyProtection="1">
      <alignment horizontal="center" vertical="top"/>
      <protection locked="0"/>
    </xf>
    <xf numFmtId="0" fontId="1" fillId="0" borderId="3" xfId="0" applyFont="1" applyBorder="1" applyAlignment="1">
      <alignment horizontal="center" vertical="center"/>
    </xf>
    <xf numFmtId="0" fontId="2" fillId="0" borderId="65" xfId="0" applyFont="1" applyBorder="1" applyAlignment="1" applyProtection="1">
      <alignment vertical="center" wrapText="1"/>
      <protection locked="0"/>
    </xf>
    <xf numFmtId="0" fontId="1" fillId="0" borderId="65" xfId="0" applyFont="1" applyBorder="1" applyAlignment="1" applyProtection="1">
      <alignment vertical="center" wrapText="1"/>
      <protection locked="0"/>
    </xf>
    <xf numFmtId="0" fontId="4" fillId="0" borderId="65" xfId="0" applyFont="1" applyBorder="1" applyAlignment="1" applyProtection="1">
      <alignment horizontal="center" vertical="center" wrapText="1"/>
      <protection hidden="1"/>
    </xf>
    <xf numFmtId="0" fontId="1" fillId="0" borderId="65" xfId="0" applyFont="1" applyBorder="1" applyAlignment="1" applyProtection="1">
      <alignment horizontal="center" vertical="center"/>
      <protection locked="0"/>
    </xf>
    <xf numFmtId="9" fontId="1" fillId="0" borderId="65" xfId="0" applyNumberFormat="1" applyFont="1" applyBorder="1" applyAlignment="1" applyProtection="1">
      <alignment horizontal="center" vertical="center" wrapText="1"/>
      <protection hidden="1"/>
    </xf>
    <xf numFmtId="9" fontId="1" fillId="0" borderId="65" xfId="0" applyNumberFormat="1" applyFont="1" applyBorder="1" applyAlignment="1" applyProtection="1">
      <alignment horizontal="center" vertical="center" wrapText="1"/>
      <protection locked="0"/>
    </xf>
    <xf numFmtId="0" fontId="4" fillId="0" borderId="65" xfId="0" applyFont="1" applyBorder="1" applyAlignment="1" applyProtection="1">
      <alignment horizontal="center" vertical="center"/>
      <protection hidden="1"/>
    </xf>
    <xf numFmtId="0" fontId="1" fillId="0" borderId="65" xfId="0" applyFont="1" applyBorder="1" applyAlignment="1" applyProtection="1">
      <alignment horizontal="center" vertical="center"/>
      <protection hidden="1"/>
    </xf>
    <xf numFmtId="0" fontId="1" fillId="0" borderId="65" xfId="0" applyFont="1" applyBorder="1" applyAlignment="1" applyProtection="1">
      <alignment horizontal="center" vertical="center" textRotation="90"/>
      <protection locked="0"/>
    </xf>
    <xf numFmtId="9" fontId="1" fillId="0" borderId="65" xfId="0" applyNumberFormat="1" applyFont="1" applyBorder="1" applyAlignment="1" applyProtection="1">
      <alignment horizontal="center" vertical="center"/>
      <protection hidden="1"/>
    </xf>
    <xf numFmtId="0" fontId="4" fillId="0" borderId="65" xfId="0" applyFont="1" applyBorder="1" applyAlignment="1" applyProtection="1">
      <alignment horizontal="center" vertical="center" textRotation="90" wrapText="1"/>
      <protection hidden="1"/>
    </xf>
    <xf numFmtId="0" fontId="1" fillId="0" borderId="65" xfId="0" applyFont="1" applyBorder="1" applyAlignment="1" applyProtection="1">
      <alignment horizontal="center" vertical="center" wrapText="1"/>
      <protection locked="0"/>
    </xf>
    <xf numFmtId="14" fontId="1" fillId="0" borderId="65" xfId="0" applyNumberFormat="1" applyFont="1" applyBorder="1" applyAlignment="1" applyProtection="1">
      <alignment horizontal="center" vertical="center"/>
      <protection locked="0"/>
    </xf>
    <xf numFmtId="0" fontId="1" fillId="0" borderId="66" xfId="0" applyFont="1" applyBorder="1" applyAlignment="1" applyProtection="1">
      <alignment vertical="top" wrapText="1"/>
      <protection locked="0"/>
    </xf>
    <xf numFmtId="0" fontId="2" fillId="0" borderId="66" xfId="0" applyFont="1" applyBorder="1" applyAlignment="1" applyProtection="1">
      <alignment vertical="top" wrapText="1"/>
      <protection locked="0"/>
    </xf>
    <xf numFmtId="0" fontId="1" fillId="0" borderId="67" xfId="0" applyFont="1" applyBorder="1" applyAlignment="1" applyProtection="1">
      <alignment vertical="center" wrapText="1"/>
      <protection locked="0"/>
    </xf>
    <xf numFmtId="0" fontId="2" fillId="0" borderId="67" xfId="0" applyFont="1" applyBorder="1" applyAlignment="1" applyProtection="1">
      <alignment vertical="center" wrapText="1"/>
      <protection locked="0"/>
    </xf>
    <xf numFmtId="0" fontId="1" fillId="0" borderId="66" xfId="0" applyFont="1" applyBorder="1" applyAlignment="1" applyProtection="1">
      <alignment horizontal="center" vertical="top" wrapText="1"/>
      <protection locked="0"/>
    </xf>
    <xf numFmtId="0" fontId="2" fillId="0" borderId="66" xfId="0" applyFont="1" applyBorder="1" applyAlignment="1" applyProtection="1">
      <alignment horizontal="center" vertical="top" wrapText="1"/>
      <protection locked="0"/>
    </xf>
    <xf numFmtId="0" fontId="59" fillId="0" borderId="65" xfId="0" applyFont="1" applyBorder="1" applyAlignment="1" applyProtection="1">
      <alignment vertical="top" wrapText="1"/>
      <protection locked="0"/>
    </xf>
    <xf numFmtId="0" fontId="1" fillId="0" borderId="65" xfId="0" applyFont="1" applyBorder="1" applyAlignment="1" applyProtection="1">
      <alignment horizontal="left" vertical="top" wrapText="1"/>
      <protection locked="0"/>
    </xf>
    <xf numFmtId="0" fontId="1" fillId="0" borderId="65" xfId="0" applyFont="1" applyBorder="1" applyAlignment="1" applyProtection="1">
      <alignment horizontal="justify" vertical="top" wrapText="1"/>
      <protection locked="0"/>
    </xf>
    <xf numFmtId="0" fontId="1" fillId="0" borderId="66" xfId="0" applyFont="1" applyBorder="1" applyAlignment="1" applyProtection="1">
      <alignment horizontal="center" vertical="center" wrapText="1"/>
      <protection locked="0"/>
    </xf>
    <xf numFmtId="0" fontId="1" fillId="0" borderId="75" xfId="0" applyFont="1" applyBorder="1" applyAlignment="1" applyProtection="1">
      <alignment horizontal="center" vertical="center" wrapText="1"/>
      <protection locked="0"/>
    </xf>
    <xf numFmtId="0" fontId="1" fillId="0" borderId="68" xfId="0" applyFont="1" applyBorder="1" applyAlignment="1">
      <alignment horizontal="left" vertical="top" wrapText="1"/>
    </xf>
    <xf numFmtId="0" fontId="1" fillId="0" borderId="68" xfId="0" applyFont="1" applyBorder="1" applyAlignment="1" applyProtection="1">
      <alignment horizontal="center" vertical="center" wrapText="1"/>
      <protection locked="0"/>
    </xf>
    <xf numFmtId="0" fontId="60" fillId="0" borderId="0" xfId="4" applyFont="1" applyAlignment="1">
      <alignment horizontal="center" vertical="center" wrapText="1"/>
    </xf>
    <xf numFmtId="0" fontId="61" fillId="0" borderId="68" xfId="0" applyFont="1" applyBorder="1" applyAlignment="1">
      <alignment horizontal="justify" vertical="top" wrapText="1"/>
    </xf>
    <xf numFmtId="0" fontId="1" fillId="0" borderId="68" xfId="0" applyFont="1" applyBorder="1" applyAlignment="1" applyProtection="1">
      <alignment horizontal="justify" vertical="center" wrapText="1"/>
      <protection locked="0"/>
    </xf>
    <xf numFmtId="0" fontId="1" fillId="0" borderId="73" xfId="0" applyFont="1" applyBorder="1" applyAlignment="1" applyProtection="1">
      <alignment horizontal="justify" vertical="top" wrapText="1"/>
      <protection locked="0"/>
    </xf>
    <xf numFmtId="0" fontId="1" fillId="0" borderId="74" xfId="0" applyFont="1" applyBorder="1" applyAlignment="1" applyProtection="1">
      <alignment horizontal="justify" vertical="top" wrapText="1"/>
      <protection locked="0"/>
    </xf>
    <xf numFmtId="0" fontId="1" fillId="0" borderId="79" xfId="0" applyFont="1" applyBorder="1" applyAlignment="1" applyProtection="1">
      <alignment horizontal="center" vertical="center" wrapText="1"/>
      <protection locked="0"/>
    </xf>
    <xf numFmtId="0" fontId="1" fillId="0" borderId="75" xfId="0" applyFont="1" applyBorder="1" applyAlignment="1">
      <alignment horizontal="center" vertical="center" wrapText="1"/>
    </xf>
    <xf numFmtId="0" fontId="1" fillId="0" borderId="23" xfId="0" applyFont="1" applyBorder="1" applyAlignment="1" applyProtection="1">
      <alignment horizontal="center" vertical="center" wrapText="1"/>
      <protection locked="0"/>
    </xf>
    <xf numFmtId="0" fontId="4" fillId="2" borderId="65" xfId="0" applyFont="1" applyFill="1" applyBorder="1" applyAlignment="1">
      <alignment horizontal="center" vertical="center" wrapText="1"/>
    </xf>
    <xf numFmtId="14" fontId="1" fillId="0" borderId="65" xfId="0" applyNumberFormat="1" applyFont="1" applyBorder="1" applyAlignment="1" applyProtection="1">
      <alignment horizontal="center" vertical="top" wrapText="1"/>
      <protection locked="0"/>
    </xf>
    <xf numFmtId="0" fontId="1" fillId="0" borderId="0" xfId="0" applyFont="1" applyAlignment="1">
      <alignment horizontal="left" vertical="top" wrapText="1"/>
    </xf>
    <xf numFmtId="0" fontId="1" fillId="0" borderId="0" xfId="0" applyFont="1" applyAlignment="1" applyProtection="1">
      <alignment horizontal="center" vertical="center" wrapText="1"/>
      <protection locked="0"/>
    </xf>
    <xf numFmtId="0" fontId="0" fillId="0" borderId="0" xfId="0" applyAlignment="1">
      <alignment horizontal="justify" vertical="center"/>
    </xf>
    <xf numFmtId="0" fontId="1" fillId="0" borderId="66" xfId="0" applyFont="1" applyBorder="1" applyAlignment="1" applyProtection="1">
      <alignment horizontal="left" vertical="top" wrapText="1"/>
      <protection locked="0"/>
    </xf>
    <xf numFmtId="0" fontId="1" fillId="0" borderId="65" xfId="0" applyFont="1" applyBorder="1" applyAlignment="1">
      <alignment horizontal="center" vertical="center"/>
    </xf>
    <xf numFmtId="9" fontId="1" fillId="0" borderId="65" xfId="1" applyFont="1" applyBorder="1" applyAlignment="1">
      <alignment horizontal="center" vertical="top"/>
    </xf>
    <xf numFmtId="0" fontId="4" fillId="16" borderId="65" xfId="0" applyFont="1" applyFill="1" applyBorder="1" applyAlignment="1" applyProtection="1">
      <alignment vertical="top"/>
      <protection hidden="1"/>
    </xf>
    <xf numFmtId="0" fontId="4" fillId="16" borderId="65" xfId="0" applyFont="1" applyFill="1" applyBorder="1" applyAlignment="1" applyProtection="1">
      <alignment vertical="top" wrapText="1"/>
      <protection hidden="1"/>
    </xf>
    <xf numFmtId="0" fontId="4" fillId="16" borderId="65" xfId="0" applyFont="1" applyFill="1" applyBorder="1" applyAlignment="1" applyProtection="1">
      <alignment horizontal="center" vertical="top" textRotation="90"/>
      <protection hidden="1"/>
    </xf>
    <xf numFmtId="0" fontId="1" fillId="0" borderId="65" xfId="0" applyFont="1" applyBorder="1" applyAlignment="1">
      <alignment horizontal="center" vertical="center"/>
    </xf>
    <xf numFmtId="0" fontId="1" fillId="3" borderId="65" xfId="0" applyFont="1" applyFill="1" applyBorder="1" applyAlignment="1" applyProtection="1">
      <alignment horizontal="center" vertical="center" wrapText="1"/>
      <protection locked="0"/>
    </xf>
    <xf numFmtId="0" fontId="1" fillId="0" borderId="65" xfId="0" applyFont="1" applyBorder="1" applyAlignment="1" applyProtection="1">
      <alignment horizontal="left" vertical="center" wrapText="1"/>
      <protection locked="0"/>
    </xf>
    <xf numFmtId="0" fontId="0" fillId="0" borderId="0" xfId="0" applyAlignment="1">
      <alignment vertical="center" wrapText="1"/>
    </xf>
    <xf numFmtId="0" fontId="2" fillId="0" borderId="66" xfId="0" applyFont="1" applyBorder="1" applyAlignment="1" applyProtection="1">
      <alignment horizontal="center" vertical="center" wrapText="1"/>
      <protection locked="0"/>
    </xf>
    <xf numFmtId="0" fontId="50" fillId="14" borderId="38" xfId="2" applyFont="1" applyFill="1" applyBorder="1" applyAlignment="1">
      <alignment horizontal="center" vertical="center" wrapText="1"/>
    </xf>
    <xf numFmtId="0" fontId="50" fillId="14" borderId="39" xfId="2" applyFont="1" applyFill="1" applyBorder="1" applyAlignment="1">
      <alignment horizontal="center" vertical="center" wrapText="1"/>
    </xf>
    <xf numFmtId="0" fontId="50" fillId="14" borderId="40" xfId="2" applyFont="1" applyFill="1" applyBorder="1" applyAlignment="1">
      <alignment horizontal="center" vertical="center" wrapText="1"/>
    </xf>
    <xf numFmtId="0" fontId="49" fillId="0" borderId="7"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8" xfId="2" quotePrefix="1" applyFont="1" applyBorder="1" applyAlignment="1">
      <alignment horizontal="left" vertical="center" wrapText="1"/>
    </xf>
    <xf numFmtId="0" fontId="49" fillId="0" borderId="58" xfId="2" quotePrefix="1" applyFont="1" applyBorder="1" applyAlignment="1">
      <alignment horizontal="left" vertical="center" wrapText="1"/>
    </xf>
    <xf numFmtId="0" fontId="49" fillId="0" borderId="59" xfId="2" quotePrefix="1" applyFont="1" applyBorder="1" applyAlignment="1">
      <alignment horizontal="left" vertical="center" wrapText="1"/>
    </xf>
    <xf numFmtId="0" fontId="49" fillId="0" borderId="60" xfId="2" quotePrefix="1" applyFont="1" applyBorder="1" applyAlignment="1">
      <alignment horizontal="left" vertical="center" wrapText="1"/>
    </xf>
    <xf numFmtId="0" fontId="51" fillId="3" borderId="41" xfId="2" quotePrefix="1" applyFont="1" applyFill="1" applyBorder="1" applyAlignment="1">
      <alignment horizontal="left" vertical="top" wrapText="1"/>
    </xf>
    <xf numFmtId="0" fontId="52" fillId="3" borderId="42" xfId="2" quotePrefix="1" applyFont="1" applyFill="1" applyBorder="1" applyAlignment="1">
      <alignment horizontal="left" vertical="top" wrapText="1"/>
    </xf>
    <xf numFmtId="0" fontId="52" fillId="3" borderId="43" xfId="2" quotePrefix="1" applyFont="1" applyFill="1" applyBorder="1" applyAlignment="1">
      <alignment horizontal="left" vertical="top" wrapText="1"/>
    </xf>
    <xf numFmtId="0" fontId="49" fillId="0" borderId="7"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8" xfId="2" quotePrefix="1" applyFont="1" applyBorder="1" applyAlignment="1">
      <alignment horizontal="left" vertical="top" wrapText="1"/>
    </xf>
    <xf numFmtId="0" fontId="54" fillId="14" borderId="44" xfId="3" applyFont="1" applyFill="1" applyBorder="1" applyAlignment="1">
      <alignment horizontal="center" vertical="center" wrapText="1"/>
    </xf>
    <xf numFmtId="0" fontId="54" fillId="14" borderId="45" xfId="3" applyFont="1" applyFill="1" applyBorder="1" applyAlignment="1">
      <alignment horizontal="center" vertical="center" wrapText="1"/>
    </xf>
    <xf numFmtId="0" fontId="54" fillId="14" borderId="46" xfId="2" applyFont="1" applyFill="1" applyBorder="1" applyAlignment="1">
      <alignment horizontal="center" vertical="center"/>
    </xf>
    <xf numFmtId="0" fontId="54" fillId="14" borderId="47" xfId="2" applyFont="1" applyFill="1" applyBorder="1" applyAlignment="1">
      <alignment horizontal="center" vertical="center"/>
    </xf>
    <xf numFmtId="0" fontId="2" fillId="3" borderId="58" xfId="2" quotePrefix="1" applyFont="1" applyFill="1" applyBorder="1" applyAlignment="1">
      <alignment horizontal="justify" vertical="center" wrapText="1"/>
    </xf>
    <xf numFmtId="0" fontId="2" fillId="3" borderId="59" xfId="2" quotePrefix="1" applyFont="1" applyFill="1" applyBorder="1" applyAlignment="1">
      <alignment horizontal="justify" vertical="center" wrapText="1"/>
    </xf>
    <xf numFmtId="0" fontId="2" fillId="3" borderId="60" xfId="2" quotePrefix="1" applyFont="1" applyFill="1" applyBorder="1" applyAlignment="1">
      <alignment horizontal="justify" vertical="center" wrapText="1"/>
    </xf>
    <xf numFmtId="0" fontId="54" fillId="3" borderId="48" xfId="3" applyFont="1" applyFill="1" applyBorder="1" applyAlignment="1">
      <alignment horizontal="left" vertical="top" wrapText="1" readingOrder="1"/>
    </xf>
    <xf numFmtId="0" fontId="54" fillId="3" borderId="49" xfId="3" applyFont="1" applyFill="1" applyBorder="1" applyAlignment="1">
      <alignment horizontal="left" vertical="top" wrapText="1" readingOrder="1"/>
    </xf>
    <xf numFmtId="0" fontId="55" fillId="3" borderId="50" xfId="2" applyFont="1" applyFill="1" applyBorder="1" applyAlignment="1">
      <alignment horizontal="justify" vertical="center" wrapText="1"/>
    </xf>
    <xf numFmtId="0" fontId="55" fillId="3" borderId="51" xfId="2" applyFont="1" applyFill="1" applyBorder="1" applyAlignment="1">
      <alignment horizontal="justify" vertical="center" wrapText="1"/>
    </xf>
    <xf numFmtId="0" fontId="54" fillId="3" borderId="52" xfId="0" applyFont="1" applyFill="1" applyBorder="1" applyAlignment="1">
      <alignment horizontal="left" vertical="center" wrapText="1"/>
    </xf>
    <xf numFmtId="0" fontId="54" fillId="3" borderId="53" xfId="0" applyFont="1" applyFill="1" applyBorder="1" applyAlignment="1">
      <alignment horizontal="left" vertical="center" wrapText="1"/>
    </xf>
    <xf numFmtId="0" fontId="55" fillId="3" borderId="54" xfId="2" applyFont="1" applyFill="1" applyBorder="1" applyAlignment="1">
      <alignment horizontal="justify" vertical="center" wrapText="1"/>
    </xf>
    <xf numFmtId="0" fontId="55" fillId="3" borderId="55" xfId="2" applyFont="1" applyFill="1" applyBorder="1" applyAlignment="1">
      <alignment horizontal="justify" vertical="center" wrapText="1"/>
    </xf>
    <xf numFmtId="0" fontId="49" fillId="3" borderId="7"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8" xfId="2" applyFont="1" applyFill="1" applyBorder="1" applyAlignment="1">
      <alignment horizontal="left" vertical="top" wrapText="1"/>
    </xf>
    <xf numFmtId="0" fontId="54" fillId="3" borderId="61" xfId="0" applyFont="1" applyFill="1" applyBorder="1" applyAlignment="1">
      <alignment horizontal="left"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4" fillId="3" borderId="64" xfId="0" applyFont="1" applyFill="1" applyBorder="1" applyAlignment="1">
      <alignment horizontal="left" vertical="center" wrapText="1"/>
    </xf>
    <xf numFmtId="0" fontId="55" fillId="3" borderId="56" xfId="0" applyFont="1" applyFill="1" applyBorder="1" applyAlignment="1">
      <alignment horizontal="justify" vertical="center" wrapText="1"/>
    </xf>
    <xf numFmtId="0" fontId="55" fillId="3" borderId="57" xfId="0" applyFont="1" applyFill="1" applyBorder="1" applyAlignment="1">
      <alignment horizontal="justify" vertical="center" wrapText="1"/>
    </xf>
    <xf numFmtId="0" fontId="26" fillId="2" borderId="65" xfId="0" applyFont="1" applyFill="1" applyBorder="1" applyAlignment="1">
      <alignment horizontal="center" vertical="center" textRotation="90"/>
    </xf>
    <xf numFmtId="0" fontId="4" fillId="2" borderId="65" xfId="0" applyFont="1" applyFill="1" applyBorder="1" applyAlignment="1">
      <alignment horizontal="center" vertical="center" wrapText="1"/>
    </xf>
    <xf numFmtId="0" fontId="4" fillId="2" borderId="65" xfId="0" applyFont="1" applyFill="1" applyBorder="1" applyAlignment="1">
      <alignment horizontal="center" vertical="center"/>
    </xf>
    <xf numFmtId="9" fontId="1" fillId="0" borderId="65" xfId="0" applyNumberFormat="1" applyFont="1" applyBorder="1" applyAlignment="1" applyProtection="1">
      <alignment horizontal="center" vertical="top" wrapText="1"/>
      <protection hidden="1"/>
    </xf>
    <xf numFmtId="0" fontId="1" fillId="0" borderId="66"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66" xfId="0" applyFont="1" applyBorder="1" applyAlignment="1">
      <alignment horizontal="center" vertical="center"/>
    </xf>
    <xf numFmtId="0" fontId="1" fillId="0" borderId="70" xfId="0" applyFont="1" applyBorder="1" applyAlignment="1">
      <alignment horizontal="center" vertical="center"/>
    </xf>
    <xf numFmtId="0" fontId="1" fillId="0" borderId="69" xfId="0" applyFont="1" applyBorder="1" applyAlignment="1">
      <alignment horizontal="center" vertical="center"/>
    </xf>
    <xf numFmtId="0" fontId="4" fillId="2" borderId="65" xfId="0" applyFont="1" applyFill="1" applyBorder="1" applyAlignment="1">
      <alignment horizontal="center" vertical="center" textRotation="90" wrapText="1"/>
    </xf>
    <xf numFmtId="0" fontId="1" fillId="0" borderId="2"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9" fontId="1" fillId="0" borderId="65" xfId="0" applyNumberFormat="1" applyFont="1" applyBorder="1" applyAlignment="1" applyProtection="1">
      <alignment horizontal="center" vertical="center" wrapText="1"/>
      <protection hidden="1"/>
    </xf>
    <xf numFmtId="0" fontId="1" fillId="0" borderId="76" xfId="0" applyFont="1" applyBorder="1" applyAlignment="1" applyProtection="1">
      <alignment horizontal="center" vertical="center" wrapText="1"/>
      <protection locked="0"/>
    </xf>
    <xf numFmtId="0" fontId="1" fillId="0" borderId="77" xfId="0" applyFont="1" applyBorder="1" applyAlignment="1" applyProtection="1">
      <alignment horizontal="center" vertical="center" wrapText="1"/>
      <protection locked="0"/>
    </xf>
    <xf numFmtId="0" fontId="1" fillId="0" borderId="78"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hidden="1"/>
    </xf>
    <xf numFmtId="0" fontId="4" fillId="0" borderId="69" xfId="0" applyFont="1" applyBorder="1" applyAlignment="1" applyProtection="1">
      <alignment horizontal="center" vertical="center" wrapText="1"/>
      <protection hidden="1"/>
    </xf>
    <xf numFmtId="0" fontId="4" fillId="0" borderId="70" xfId="0" applyFont="1" applyBorder="1" applyAlignment="1" applyProtection="1">
      <alignment horizontal="center" vertical="center" wrapText="1"/>
      <protection hidden="1"/>
    </xf>
    <xf numFmtId="9" fontId="1" fillId="0" borderId="66" xfId="0" applyNumberFormat="1" applyFont="1" applyBorder="1" applyAlignment="1" applyProtection="1">
      <alignment horizontal="center" vertical="center" wrapText="1"/>
      <protection hidden="1"/>
    </xf>
    <xf numFmtId="9" fontId="1" fillId="0" borderId="69" xfId="0" applyNumberFormat="1" applyFont="1" applyBorder="1" applyAlignment="1" applyProtection="1">
      <alignment horizontal="center" vertical="center" wrapText="1"/>
      <protection hidden="1"/>
    </xf>
    <xf numFmtId="9" fontId="1" fillId="0" borderId="70" xfId="0" applyNumberFormat="1" applyFont="1" applyBorder="1" applyAlignment="1" applyProtection="1">
      <alignment horizontal="center" vertical="center" wrapText="1"/>
      <protection hidden="1"/>
    </xf>
    <xf numFmtId="0" fontId="4" fillId="0" borderId="66" xfId="0" applyFont="1" applyBorder="1" applyAlignment="1" applyProtection="1">
      <alignment horizontal="center" vertical="center"/>
      <protection hidden="1"/>
    </xf>
    <xf numFmtId="0" fontId="4" fillId="0" borderId="69" xfId="0" applyFont="1" applyBorder="1" applyAlignment="1" applyProtection="1">
      <alignment horizontal="center" vertical="center"/>
      <protection hidden="1"/>
    </xf>
    <xf numFmtId="0" fontId="4" fillId="0" borderId="70" xfId="0" applyFont="1" applyBorder="1" applyAlignment="1" applyProtection="1">
      <alignment horizontal="center" vertical="center"/>
      <protection hidden="1"/>
    </xf>
    <xf numFmtId="0" fontId="1" fillId="0" borderId="66" xfId="0" applyFont="1" applyBorder="1" applyAlignment="1" applyProtection="1">
      <alignment horizontal="center" vertical="center" textRotation="90"/>
      <protection locked="0"/>
    </xf>
    <xf numFmtId="0" fontId="1" fillId="0" borderId="69" xfId="0" applyFont="1" applyBorder="1" applyAlignment="1" applyProtection="1">
      <alignment horizontal="center" vertical="center" textRotation="90"/>
      <protection locked="0"/>
    </xf>
    <xf numFmtId="0" fontId="1" fillId="0" borderId="70" xfId="0" applyFont="1" applyBorder="1" applyAlignment="1" applyProtection="1">
      <alignment horizontal="center" vertical="center" textRotation="90"/>
      <protection locked="0"/>
    </xf>
    <xf numFmtId="0" fontId="2" fillId="0" borderId="75" xfId="0" applyFont="1" applyBorder="1" applyAlignment="1" applyProtection="1">
      <alignment horizontal="center" vertical="center" wrapText="1"/>
      <protection locked="0"/>
    </xf>
    <xf numFmtId="0" fontId="1" fillId="0" borderId="8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25" fillId="2" borderId="65" xfId="0" applyFont="1" applyFill="1" applyBorder="1" applyAlignment="1">
      <alignment horizontal="center" vertical="center"/>
    </xf>
    <xf numFmtId="0" fontId="1" fillId="0" borderId="66" xfId="0" applyFont="1" applyBorder="1" applyAlignment="1" applyProtection="1">
      <alignment horizontal="center" vertical="center" wrapText="1"/>
      <protection locked="0"/>
    </xf>
    <xf numFmtId="0" fontId="1" fillId="0" borderId="69"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75" xfId="0" applyFont="1" applyBorder="1" applyAlignment="1" applyProtection="1">
      <alignment horizontal="center" vertical="center" wrapText="1"/>
      <protection locked="0"/>
    </xf>
    <xf numFmtId="0" fontId="1" fillId="0" borderId="65" xfId="0" applyFont="1" applyBorder="1" applyAlignment="1">
      <alignment horizontal="center" vertical="center"/>
    </xf>
    <xf numFmtId="0" fontId="1" fillId="0" borderId="65" xfId="0" applyFont="1" applyBorder="1" applyAlignment="1">
      <alignment horizontal="center" vertical="center" wrapText="1"/>
    </xf>
    <xf numFmtId="0" fontId="25"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3" fillId="0" borderId="5" xfId="0" applyFont="1" applyBorder="1" applyAlignment="1">
      <alignment horizontal="center" vertical="center" wrapText="1"/>
    </xf>
    <xf numFmtId="0" fontId="43" fillId="0" borderId="12"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43" fillId="0" borderId="0" xfId="0" applyFont="1" applyAlignment="1">
      <alignment horizontal="center" vertical="center"/>
    </xf>
    <xf numFmtId="0" fontId="43" fillId="0" borderId="8" xfId="0" applyFont="1" applyBorder="1" applyAlignment="1">
      <alignment horizontal="center" vertical="center"/>
    </xf>
    <xf numFmtId="0" fontId="43" fillId="0" borderId="9" xfId="0" applyFont="1" applyBorder="1" applyAlignment="1">
      <alignment horizontal="center" vertical="center"/>
    </xf>
    <xf numFmtId="0" fontId="43" fillId="0" borderId="11" xfId="0" applyFont="1" applyBorder="1" applyAlignment="1">
      <alignment horizontal="center" vertical="center"/>
    </xf>
    <xf numFmtId="0" fontId="43" fillId="0" borderId="10" xfId="0" applyFont="1" applyBorder="1" applyAlignment="1">
      <alignment horizontal="center" vertical="center"/>
    </xf>
    <xf numFmtId="0" fontId="43" fillId="0" borderId="12" xfId="0" applyFont="1" applyBorder="1" applyAlignment="1">
      <alignment horizontal="center" vertical="center" wrapText="1"/>
    </xf>
    <xf numFmtId="0" fontId="42" fillId="11" borderId="13" xfId="0" applyFont="1" applyFill="1" applyBorder="1" applyAlignment="1">
      <alignment horizontal="center" vertical="center" wrapText="1" readingOrder="1"/>
    </xf>
    <xf numFmtId="0" fontId="42" fillId="11" borderId="14" xfId="0" applyFont="1" applyFill="1" applyBorder="1" applyAlignment="1">
      <alignment horizontal="center" vertical="center" wrapText="1" readingOrder="1"/>
    </xf>
    <xf numFmtId="0" fontId="42" fillId="11" borderId="15" xfId="0" applyFont="1" applyFill="1" applyBorder="1" applyAlignment="1">
      <alignment horizontal="center" vertical="center" wrapText="1" readingOrder="1"/>
    </xf>
    <xf numFmtId="0" fontId="42" fillId="11" borderId="16"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17" xfId="0" applyFont="1" applyFill="1" applyBorder="1" applyAlignment="1">
      <alignment horizontal="center" vertical="center" wrapText="1" readingOrder="1"/>
    </xf>
    <xf numFmtId="0" fontId="42" fillId="11" borderId="18" xfId="0" applyFont="1" applyFill="1" applyBorder="1" applyAlignment="1">
      <alignment horizontal="center" vertical="center" wrapText="1" readingOrder="1"/>
    </xf>
    <xf numFmtId="0" fontId="42" fillId="11" borderId="19" xfId="0" applyFont="1" applyFill="1" applyBorder="1" applyAlignment="1">
      <alignment horizontal="center" vertical="center" wrapText="1" readingOrder="1"/>
    </xf>
    <xf numFmtId="0" fontId="42" fillId="11" borderId="20" xfId="0" applyFont="1" applyFill="1" applyBorder="1" applyAlignment="1">
      <alignment horizontal="center" vertical="center" wrapText="1" readingOrder="1"/>
    </xf>
    <xf numFmtId="0" fontId="43" fillId="0" borderId="7" xfId="0" applyFont="1" applyBorder="1" applyAlignment="1">
      <alignment horizontal="center" vertical="center" wrapText="1"/>
    </xf>
    <xf numFmtId="0" fontId="42" fillId="12" borderId="13" xfId="0" applyFont="1" applyFill="1" applyBorder="1" applyAlignment="1">
      <alignment horizontal="center" vertical="center" wrapText="1" readingOrder="1"/>
    </xf>
    <xf numFmtId="0" fontId="42" fillId="12" borderId="14" xfId="0" applyFont="1" applyFill="1" applyBorder="1" applyAlignment="1">
      <alignment horizontal="center" vertical="center" wrapText="1" readingOrder="1"/>
    </xf>
    <xf numFmtId="0" fontId="42" fillId="12" borderId="15" xfId="0" applyFont="1" applyFill="1" applyBorder="1" applyAlignment="1">
      <alignment horizontal="center" vertical="center" wrapText="1" readingOrder="1"/>
    </xf>
    <xf numFmtId="0" fontId="42" fillId="12" borderId="16"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17" xfId="0" applyFont="1" applyFill="1" applyBorder="1" applyAlignment="1">
      <alignment horizontal="center" vertical="center" wrapText="1" readingOrder="1"/>
    </xf>
    <xf numFmtId="0" fontId="42" fillId="12" borderId="18" xfId="0" applyFont="1" applyFill="1" applyBorder="1" applyAlignment="1">
      <alignment horizontal="center" vertical="center" wrapText="1" readingOrder="1"/>
    </xf>
    <xf numFmtId="0" fontId="42" fillId="12" borderId="19" xfId="0" applyFont="1" applyFill="1" applyBorder="1" applyAlignment="1">
      <alignment horizontal="center" vertical="center" wrapText="1" readingOrder="1"/>
    </xf>
    <xf numFmtId="0" fontId="42" fillId="12" borderId="20" xfId="0" applyFont="1" applyFill="1" applyBorder="1" applyAlignment="1">
      <alignment horizontal="center" vertical="center" wrapText="1" readingOrder="1"/>
    </xf>
    <xf numFmtId="0" fontId="41" fillId="0" borderId="0" xfId="0" applyFont="1" applyAlignment="1">
      <alignment horizontal="center" vertical="center" wrapText="1"/>
    </xf>
    <xf numFmtId="0" fontId="22" fillId="0" borderId="0" xfId="0" applyFont="1" applyAlignment="1">
      <alignment horizontal="center" vertical="center" wrapText="1"/>
    </xf>
    <xf numFmtId="0" fontId="42" fillId="5" borderId="13" xfId="0" applyFont="1" applyFill="1" applyBorder="1" applyAlignment="1">
      <alignment horizontal="center" vertical="center" wrapText="1" readingOrder="1"/>
    </xf>
    <xf numFmtId="0" fontId="42" fillId="5" borderId="14" xfId="0" applyFont="1" applyFill="1" applyBorder="1" applyAlignment="1">
      <alignment horizontal="center" vertical="center" wrapText="1" readingOrder="1"/>
    </xf>
    <xf numFmtId="0" fontId="42" fillId="5" borderId="15" xfId="0" applyFont="1" applyFill="1" applyBorder="1" applyAlignment="1">
      <alignment horizontal="center" vertical="center" wrapText="1" readingOrder="1"/>
    </xf>
    <xf numFmtId="0" fontId="42" fillId="5" borderId="16"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17" xfId="0" applyFont="1" applyFill="1" applyBorder="1" applyAlignment="1">
      <alignment horizontal="center" vertical="center" wrapText="1" readingOrder="1"/>
    </xf>
    <xf numFmtId="0" fontId="42" fillId="5" borderId="18" xfId="0" applyFont="1" applyFill="1" applyBorder="1" applyAlignment="1">
      <alignment horizontal="center" vertical="center" wrapText="1" readingOrder="1"/>
    </xf>
    <xf numFmtId="0" fontId="42" fillId="5" borderId="19" xfId="0" applyFont="1" applyFill="1" applyBorder="1" applyAlignment="1">
      <alignment horizontal="center" vertical="center" wrapText="1" readingOrder="1"/>
    </xf>
    <xf numFmtId="0" fontId="42" fillId="5" borderId="20" xfId="0" applyFont="1" applyFill="1" applyBorder="1" applyAlignment="1">
      <alignment horizontal="center" vertical="center" wrapText="1" readingOrder="1"/>
    </xf>
    <xf numFmtId="0" fontId="42" fillId="13" borderId="13" xfId="0" applyFont="1" applyFill="1" applyBorder="1" applyAlignment="1">
      <alignment horizontal="center" vertical="center" wrapText="1" readingOrder="1"/>
    </xf>
    <xf numFmtId="0" fontId="42" fillId="13" borderId="14" xfId="0" applyFont="1" applyFill="1" applyBorder="1" applyAlignment="1">
      <alignment horizontal="center" vertical="center" wrapText="1" readingOrder="1"/>
    </xf>
    <xf numFmtId="0" fontId="42" fillId="13" borderId="15" xfId="0" applyFont="1" applyFill="1" applyBorder="1" applyAlignment="1">
      <alignment horizontal="center" vertical="center" wrapText="1" readingOrder="1"/>
    </xf>
    <xf numFmtId="0" fontId="42" fillId="13" borderId="16"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17" xfId="0" applyFont="1" applyFill="1" applyBorder="1" applyAlignment="1">
      <alignment horizontal="center" vertical="center" wrapText="1" readingOrder="1"/>
    </xf>
    <xf numFmtId="0" fontId="42" fillId="13" borderId="18" xfId="0" applyFont="1" applyFill="1" applyBorder="1" applyAlignment="1">
      <alignment horizontal="center" vertical="center" wrapText="1" readingOrder="1"/>
    </xf>
    <xf numFmtId="0" fontId="42" fillId="13" borderId="19"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24" fillId="0" borderId="0" xfId="0" applyFont="1" applyAlignment="1">
      <alignment horizontal="center" vertical="center"/>
    </xf>
    <xf numFmtId="0" fontId="45" fillId="0" borderId="0" xfId="0" applyFont="1" applyAlignment="1">
      <alignment horizontal="center" vertical="center"/>
    </xf>
    <xf numFmtId="0" fontId="40" fillId="15" borderId="25" xfId="0" applyFont="1" applyFill="1" applyBorder="1" applyAlignment="1">
      <alignment horizontal="center" vertical="center" wrapText="1" readingOrder="1"/>
    </xf>
    <xf numFmtId="0" fontId="40" fillId="15" borderId="26" xfId="0" applyFont="1" applyFill="1" applyBorder="1" applyAlignment="1">
      <alignment horizontal="center" vertical="center" wrapText="1" readingOrder="1"/>
    </xf>
    <xf numFmtId="0" fontId="40" fillId="15" borderId="37"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34" xfId="0" applyFont="1" applyFill="1" applyBorder="1" applyAlignment="1">
      <alignment horizontal="center" vertical="center" wrapText="1" readingOrder="1"/>
    </xf>
    <xf numFmtId="0" fontId="37" fillId="15" borderId="35" xfId="0" applyFont="1" applyFill="1" applyBorder="1" applyAlignment="1">
      <alignment horizontal="center" vertical="center" wrapText="1" readingOrder="1"/>
    </xf>
    <xf numFmtId="0" fontId="37" fillId="3" borderId="32" xfId="0" applyFont="1" applyFill="1" applyBorder="1" applyAlignment="1">
      <alignment horizontal="center" vertical="center" wrapText="1" readingOrder="1"/>
    </xf>
    <xf numFmtId="0" fontId="37" fillId="3" borderId="27" xfId="0" applyFont="1" applyFill="1" applyBorder="1" applyAlignment="1">
      <alignment horizontal="center" vertical="center" wrapText="1" readingOrder="1"/>
    </xf>
    <xf numFmtId="0" fontId="37" fillId="3" borderId="24" xfId="0" applyFont="1" applyFill="1" applyBorder="1" applyAlignment="1">
      <alignment horizontal="center" vertical="center" wrapText="1" readingOrder="1"/>
    </xf>
    <xf numFmtId="0" fontId="37" fillId="3" borderId="23" xfId="0" applyFont="1" applyFill="1" applyBorder="1" applyAlignment="1">
      <alignment horizontal="center" vertical="center" wrapText="1" readingOrder="1"/>
    </xf>
    <xf numFmtId="0" fontId="37" fillId="3" borderId="29"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8">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3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20" zoomScale="110" zoomScaleNormal="110" workbookViewId="0">
      <selection activeCell="E23" sqref="E23:F23"/>
    </sheetView>
  </sheetViews>
  <sheetFormatPr baseColWidth="10" defaultColWidth="11.453125" defaultRowHeight="14.5" x14ac:dyDescent="0.35"/>
  <cols>
    <col min="1" max="1" width="2.81640625" style="78" customWidth="1"/>
    <col min="2" max="3" width="24.7265625" style="78" customWidth="1"/>
    <col min="4" max="4" width="16" style="78" customWidth="1"/>
    <col min="5" max="5" width="24.7265625" style="78" customWidth="1"/>
    <col min="6" max="6" width="27.7265625" style="78" customWidth="1"/>
    <col min="7" max="8" width="24.7265625" style="78" customWidth="1"/>
    <col min="9" max="16384" width="11.453125" style="78"/>
  </cols>
  <sheetData>
    <row r="1" spans="2:8" ht="15" thickBot="1" x14ac:dyDescent="0.4"/>
    <row r="2" spans="2:8" ht="18" x14ac:dyDescent="0.35">
      <c r="B2" s="193" t="s">
        <v>164</v>
      </c>
      <c r="C2" s="194"/>
      <c r="D2" s="194"/>
      <c r="E2" s="194"/>
      <c r="F2" s="194"/>
      <c r="G2" s="194"/>
      <c r="H2" s="195"/>
    </row>
    <row r="3" spans="2:8" x14ac:dyDescent="0.35">
      <c r="B3" s="79"/>
      <c r="C3" s="80"/>
      <c r="D3" s="80"/>
      <c r="E3" s="80"/>
      <c r="F3" s="80"/>
      <c r="G3" s="80"/>
      <c r="H3" s="81"/>
    </row>
    <row r="4" spans="2:8" ht="63" customHeight="1" x14ac:dyDescent="0.35">
      <c r="B4" s="196" t="s">
        <v>207</v>
      </c>
      <c r="C4" s="197"/>
      <c r="D4" s="197"/>
      <c r="E4" s="197"/>
      <c r="F4" s="197"/>
      <c r="G4" s="197"/>
      <c r="H4" s="198"/>
    </row>
    <row r="5" spans="2:8" ht="63" customHeight="1" x14ac:dyDescent="0.35">
      <c r="B5" s="199"/>
      <c r="C5" s="200"/>
      <c r="D5" s="200"/>
      <c r="E5" s="200"/>
      <c r="F5" s="200"/>
      <c r="G5" s="200"/>
      <c r="H5" s="201"/>
    </row>
    <row r="6" spans="2:8" x14ac:dyDescent="0.35">
      <c r="B6" s="202" t="s">
        <v>162</v>
      </c>
      <c r="C6" s="203"/>
      <c r="D6" s="203"/>
      <c r="E6" s="203"/>
      <c r="F6" s="203"/>
      <c r="G6" s="203"/>
      <c r="H6" s="204"/>
    </row>
    <row r="7" spans="2:8" ht="95.25" customHeight="1" x14ac:dyDescent="0.35">
      <c r="B7" s="212" t="s">
        <v>167</v>
      </c>
      <c r="C7" s="213"/>
      <c r="D7" s="213"/>
      <c r="E7" s="213"/>
      <c r="F7" s="213"/>
      <c r="G7" s="213"/>
      <c r="H7" s="214"/>
    </row>
    <row r="8" spans="2:8" x14ac:dyDescent="0.35">
      <c r="B8" s="115"/>
      <c r="C8" s="116"/>
      <c r="D8" s="116"/>
      <c r="E8" s="116"/>
      <c r="F8" s="116"/>
      <c r="G8" s="116"/>
      <c r="H8" s="117"/>
    </row>
    <row r="9" spans="2:8" ht="16.5" customHeight="1" x14ac:dyDescent="0.35">
      <c r="B9" s="205" t="s">
        <v>200</v>
      </c>
      <c r="C9" s="206"/>
      <c r="D9" s="206"/>
      <c r="E9" s="206"/>
      <c r="F9" s="206"/>
      <c r="G9" s="206"/>
      <c r="H9" s="207"/>
    </row>
    <row r="10" spans="2:8" ht="44.25" customHeight="1" x14ac:dyDescent="0.35">
      <c r="B10" s="205"/>
      <c r="C10" s="206"/>
      <c r="D10" s="206"/>
      <c r="E10" s="206"/>
      <c r="F10" s="206"/>
      <c r="G10" s="206"/>
      <c r="H10" s="207"/>
    </row>
    <row r="11" spans="2:8" ht="15" thickBot="1" x14ac:dyDescent="0.4">
      <c r="B11" s="104"/>
      <c r="C11" s="107"/>
      <c r="D11" s="112"/>
      <c r="E11" s="113"/>
      <c r="F11" s="113"/>
      <c r="G11" s="114"/>
      <c r="H11" s="108"/>
    </row>
    <row r="12" spans="2:8" ht="15" thickTop="1" x14ac:dyDescent="0.35">
      <c r="B12" s="104"/>
      <c r="C12" s="208" t="s">
        <v>163</v>
      </c>
      <c r="D12" s="209"/>
      <c r="E12" s="210" t="s">
        <v>201</v>
      </c>
      <c r="F12" s="211"/>
      <c r="G12" s="107"/>
      <c r="H12" s="108"/>
    </row>
    <row r="13" spans="2:8" ht="35.25" customHeight="1" x14ac:dyDescent="0.35">
      <c r="B13" s="104"/>
      <c r="C13" s="215" t="s">
        <v>194</v>
      </c>
      <c r="D13" s="216"/>
      <c r="E13" s="217" t="s">
        <v>199</v>
      </c>
      <c r="F13" s="218"/>
      <c r="G13" s="107"/>
      <c r="H13" s="108"/>
    </row>
    <row r="14" spans="2:8" ht="17.25" customHeight="1" x14ac:dyDescent="0.35">
      <c r="B14" s="104"/>
      <c r="C14" s="215" t="s">
        <v>195</v>
      </c>
      <c r="D14" s="216"/>
      <c r="E14" s="217" t="s">
        <v>197</v>
      </c>
      <c r="F14" s="218"/>
      <c r="G14" s="107"/>
      <c r="H14" s="108"/>
    </row>
    <row r="15" spans="2:8" ht="19.5" customHeight="1" x14ac:dyDescent="0.35">
      <c r="B15" s="104"/>
      <c r="C15" s="215" t="s">
        <v>196</v>
      </c>
      <c r="D15" s="216"/>
      <c r="E15" s="217" t="s">
        <v>198</v>
      </c>
      <c r="F15" s="218"/>
      <c r="G15" s="107"/>
      <c r="H15" s="108"/>
    </row>
    <row r="16" spans="2:8" ht="69.75" customHeight="1" x14ac:dyDescent="0.35">
      <c r="B16" s="104"/>
      <c r="C16" s="215" t="s">
        <v>165</v>
      </c>
      <c r="D16" s="216"/>
      <c r="E16" s="217" t="s">
        <v>166</v>
      </c>
      <c r="F16" s="218"/>
      <c r="G16" s="107"/>
      <c r="H16" s="108"/>
    </row>
    <row r="17" spans="2:8" ht="34.5" customHeight="1" x14ac:dyDescent="0.35">
      <c r="B17" s="104"/>
      <c r="C17" s="219" t="s">
        <v>2</v>
      </c>
      <c r="D17" s="220"/>
      <c r="E17" s="221" t="s">
        <v>208</v>
      </c>
      <c r="F17" s="222"/>
      <c r="G17" s="107"/>
      <c r="H17" s="108"/>
    </row>
    <row r="18" spans="2:8" ht="27.75" customHeight="1" x14ac:dyDescent="0.35">
      <c r="B18" s="104"/>
      <c r="C18" s="219" t="s">
        <v>3</v>
      </c>
      <c r="D18" s="220"/>
      <c r="E18" s="221" t="s">
        <v>209</v>
      </c>
      <c r="F18" s="222"/>
      <c r="G18" s="107"/>
      <c r="H18" s="108"/>
    </row>
    <row r="19" spans="2:8" ht="28.5" customHeight="1" x14ac:dyDescent="0.35">
      <c r="B19" s="104"/>
      <c r="C19" s="219" t="s">
        <v>42</v>
      </c>
      <c r="D19" s="220"/>
      <c r="E19" s="221" t="s">
        <v>210</v>
      </c>
      <c r="F19" s="222"/>
      <c r="G19" s="107"/>
      <c r="H19" s="108"/>
    </row>
    <row r="20" spans="2:8" ht="72.75" customHeight="1" x14ac:dyDescent="0.35">
      <c r="B20" s="104"/>
      <c r="C20" s="219" t="s">
        <v>1</v>
      </c>
      <c r="D20" s="220"/>
      <c r="E20" s="221" t="s">
        <v>211</v>
      </c>
      <c r="F20" s="222"/>
      <c r="G20" s="107"/>
      <c r="H20" s="108"/>
    </row>
    <row r="21" spans="2:8" ht="64.5" customHeight="1" x14ac:dyDescent="0.35">
      <c r="B21" s="104"/>
      <c r="C21" s="219" t="s">
        <v>49</v>
      </c>
      <c r="D21" s="220"/>
      <c r="E21" s="221" t="s">
        <v>169</v>
      </c>
      <c r="F21" s="222"/>
      <c r="G21" s="107"/>
      <c r="H21" s="108"/>
    </row>
    <row r="22" spans="2:8" ht="71.25" customHeight="1" x14ac:dyDescent="0.35">
      <c r="B22" s="104"/>
      <c r="C22" s="219" t="s">
        <v>168</v>
      </c>
      <c r="D22" s="220"/>
      <c r="E22" s="221" t="s">
        <v>170</v>
      </c>
      <c r="F22" s="222"/>
      <c r="G22" s="107"/>
      <c r="H22" s="108"/>
    </row>
    <row r="23" spans="2:8" ht="55.5" customHeight="1" x14ac:dyDescent="0.35">
      <c r="B23" s="104"/>
      <c r="C23" s="226" t="s">
        <v>171</v>
      </c>
      <c r="D23" s="227"/>
      <c r="E23" s="221" t="s">
        <v>172</v>
      </c>
      <c r="F23" s="222"/>
      <c r="G23" s="107"/>
      <c r="H23" s="108"/>
    </row>
    <row r="24" spans="2:8" ht="42" customHeight="1" x14ac:dyDescent="0.35">
      <c r="B24" s="104"/>
      <c r="C24" s="226" t="s">
        <v>47</v>
      </c>
      <c r="D24" s="227"/>
      <c r="E24" s="221" t="s">
        <v>173</v>
      </c>
      <c r="F24" s="222"/>
      <c r="G24" s="107"/>
      <c r="H24" s="108"/>
    </row>
    <row r="25" spans="2:8" ht="59.25" customHeight="1" x14ac:dyDescent="0.35">
      <c r="B25" s="104"/>
      <c r="C25" s="226" t="s">
        <v>161</v>
      </c>
      <c r="D25" s="227"/>
      <c r="E25" s="221" t="s">
        <v>174</v>
      </c>
      <c r="F25" s="222"/>
      <c r="G25" s="107"/>
      <c r="H25" s="108"/>
    </row>
    <row r="26" spans="2:8" ht="23.25" customHeight="1" x14ac:dyDescent="0.35">
      <c r="B26" s="104"/>
      <c r="C26" s="226" t="s">
        <v>12</v>
      </c>
      <c r="D26" s="227"/>
      <c r="E26" s="221" t="s">
        <v>175</v>
      </c>
      <c r="F26" s="222"/>
      <c r="G26" s="107"/>
      <c r="H26" s="108"/>
    </row>
    <row r="27" spans="2:8" ht="30.75" customHeight="1" x14ac:dyDescent="0.35">
      <c r="B27" s="104"/>
      <c r="C27" s="226" t="s">
        <v>179</v>
      </c>
      <c r="D27" s="227"/>
      <c r="E27" s="221" t="s">
        <v>176</v>
      </c>
      <c r="F27" s="222"/>
      <c r="G27" s="107"/>
      <c r="H27" s="108"/>
    </row>
    <row r="28" spans="2:8" ht="35.25" customHeight="1" x14ac:dyDescent="0.35">
      <c r="B28" s="104"/>
      <c r="C28" s="226" t="s">
        <v>180</v>
      </c>
      <c r="D28" s="227"/>
      <c r="E28" s="221" t="s">
        <v>177</v>
      </c>
      <c r="F28" s="222"/>
      <c r="G28" s="107"/>
      <c r="H28" s="108"/>
    </row>
    <row r="29" spans="2:8" ht="33" customHeight="1" x14ac:dyDescent="0.35">
      <c r="B29" s="104"/>
      <c r="C29" s="226" t="s">
        <v>180</v>
      </c>
      <c r="D29" s="227"/>
      <c r="E29" s="221" t="s">
        <v>177</v>
      </c>
      <c r="F29" s="222"/>
      <c r="G29" s="107"/>
      <c r="H29" s="108"/>
    </row>
    <row r="30" spans="2:8" ht="30" customHeight="1" x14ac:dyDescent="0.35">
      <c r="B30" s="104"/>
      <c r="C30" s="226" t="s">
        <v>181</v>
      </c>
      <c r="D30" s="227"/>
      <c r="E30" s="221" t="s">
        <v>178</v>
      </c>
      <c r="F30" s="222"/>
      <c r="G30" s="107"/>
      <c r="H30" s="108"/>
    </row>
    <row r="31" spans="2:8" ht="35.25" customHeight="1" x14ac:dyDescent="0.35">
      <c r="B31" s="104"/>
      <c r="C31" s="226" t="s">
        <v>182</v>
      </c>
      <c r="D31" s="227"/>
      <c r="E31" s="221" t="s">
        <v>183</v>
      </c>
      <c r="F31" s="222"/>
      <c r="G31" s="107"/>
      <c r="H31" s="108"/>
    </row>
    <row r="32" spans="2:8" ht="31.5" customHeight="1" x14ac:dyDescent="0.35">
      <c r="B32" s="104"/>
      <c r="C32" s="226" t="s">
        <v>184</v>
      </c>
      <c r="D32" s="227"/>
      <c r="E32" s="221" t="s">
        <v>185</v>
      </c>
      <c r="F32" s="222"/>
      <c r="G32" s="107"/>
      <c r="H32" s="108"/>
    </row>
    <row r="33" spans="2:8" ht="35.25" customHeight="1" x14ac:dyDescent="0.35">
      <c r="B33" s="104"/>
      <c r="C33" s="226" t="s">
        <v>186</v>
      </c>
      <c r="D33" s="227"/>
      <c r="E33" s="221" t="s">
        <v>187</v>
      </c>
      <c r="F33" s="222"/>
      <c r="G33" s="107"/>
      <c r="H33" s="108"/>
    </row>
    <row r="34" spans="2:8" ht="59.25" customHeight="1" x14ac:dyDescent="0.35">
      <c r="B34" s="104"/>
      <c r="C34" s="226" t="s">
        <v>188</v>
      </c>
      <c r="D34" s="227"/>
      <c r="E34" s="221" t="s">
        <v>189</v>
      </c>
      <c r="F34" s="222"/>
      <c r="G34" s="107"/>
      <c r="H34" s="108"/>
    </row>
    <row r="35" spans="2:8" ht="29.25" customHeight="1" x14ac:dyDescent="0.35">
      <c r="B35" s="104"/>
      <c r="C35" s="226" t="s">
        <v>29</v>
      </c>
      <c r="D35" s="227"/>
      <c r="E35" s="221" t="s">
        <v>190</v>
      </c>
      <c r="F35" s="222"/>
      <c r="G35" s="107"/>
      <c r="H35" s="108"/>
    </row>
    <row r="36" spans="2:8" ht="82.5" customHeight="1" x14ac:dyDescent="0.35">
      <c r="B36" s="104"/>
      <c r="C36" s="226" t="s">
        <v>192</v>
      </c>
      <c r="D36" s="227"/>
      <c r="E36" s="221" t="s">
        <v>191</v>
      </c>
      <c r="F36" s="222"/>
      <c r="G36" s="107"/>
      <c r="H36" s="108"/>
    </row>
    <row r="37" spans="2:8" ht="46.5" customHeight="1" x14ac:dyDescent="0.35">
      <c r="B37" s="104"/>
      <c r="C37" s="226" t="s">
        <v>39</v>
      </c>
      <c r="D37" s="227"/>
      <c r="E37" s="221" t="s">
        <v>193</v>
      </c>
      <c r="F37" s="222"/>
      <c r="G37" s="107"/>
      <c r="H37" s="108"/>
    </row>
    <row r="38" spans="2:8" ht="6.75" customHeight="1" thickBot="1" x14ac:dyDescent="0.4">
      <c r="B38" s="104"/>
      <c r="C38" s="228"/>
      <c r="D38" s="229"/>
      <c r="E38" s="230"/>
      <c r="F38" s="231"/>
      <c r="G38" s="107"/>
      <c r="H38" s="108"/>
    </row>
    <row r="39" spans="2:8" ht="15" thickTop="1" x14ac:dyDescent="0.35">
      <c r="B39" s="104"/>
      <c r="C39" s="105"/>
      <c r="D39" s="105"/>
      <c r="E39" s="106"/>
      <c r="F39" s="106"/>
      <c r="G39" s="107"/>
      <c r="H39" s="108"/>
    </row>
    <row r="40" spans="2:8" ht="21" customHeight="1" x14ac:dyDescent="0.35">
      <c r="B40" s="223" t="s">
        <v>202</v>
      </c>
      <c r="C40" s="224"/>
      <c r="D40" s="224"/>
      <c r="E40" s="224"/>
      <c r="F40" s="224"/>
      <c r="G40" s="224"/>
      <c r="H40" s="225"/>
    </row>
    <row r="41" spans="2:8" ht="20.25" customHeight="1" x14ac:dyDescent="0.35">
      <c r="B41" s="223" t="s">
        <v>203</v>
      </c>
      <c r="C41" s="224"/>
      <c r="D41" s="224"/>
      <c r="E41" s="224"/>
      <c r="F41" s="224"/>
      <c r="G41" s="224"/>
      <c r="H41" s="225"/>
    </row>
    <row r="42" spans="2:8" ht="20.25" customHeight="1" x14ac:dyDescent="0.35">
      <c r="B42" s="223" t="s">
        <v>204</v>
      </c>
      <c r="C42" s="224"/>
      <c r="D42" s="224"/>
      <c r="E42" s="224"/>
      <c r="F42" s="224"/>
      <c r="G42" s="224"/>
      <c r="H42" s="225"/>
    </row>
    <row r="43" spans="2:8" ht="20.25" customHeight="1" x14ac:dyDescent="0.35">
      <c r="B43" s="223" t="s">
        <v>205</v>
      </c>
      <c r="C43" s="224"/>
      <c r="D43" s="224"/>
      <c r="E43" s="224"/>
      <c r="F43" s="224"/>
      <c r="G43" s="224"/>
      <c r="H43" s="225"/>
    </row>
    <row r="44" spans="2:8" x14ac:dyDescent="0.35">
      <c r="B44" s="223" t="s">
        <v>206</v>
      </c>
      <c r="C44" s="224"/>
      <c r="D44" s="224"/>
      <c r="E44" s="224"/>
      <c r="F44" s="224"/>
      <c r="G44" s="224"/>
      <c r="H44" s="225"/>
    </row>
    <row r="45" spans="2:8" ht="15" thickBot="1" x14ac:dyDescent="0.4">
      <c r="B45" s="109"/>
      <c r="C45" s="110"/>
      <c r="D45" s="110"/>
      <c r="E45" s="110"/>
      <c r="F45" s="110"/>
      <c r="G45" s="110"/>
      <c r="H45" s="111"/>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S62"/>
  <sheetViews>
    <sheetView tabSelected="1" zoomScale="50" zoomScaleNormal="50" zoomScaleSheetLayoutView="10" workbookViewId="0">
      <pane ySplit="5" topLeftCell="A6" activePane="bottomLeft" state="frozen"/>
      <selection activeCell="C1" sqref="C1"/>
      <selection pane="bottomLeft" activeCell="E20" sqref="E20"/>
    </sheetView>
  </sheetViews>
  <sheetFormatPr baseColWidth="10" defaultColWidth="11.453125" defaultRowHeight="14" x14ac:dyDescent="0.3"/>
  <cols>
    <col min="1" max="1" width="30.54296875" style="1" customWidth="1"/>
    <col min="2" max="2" width="28.26953125" style="1" customWidth="1"/>
    <col min="3" max="3" width="4" style="2" bestFit="1" customWidth="1"/>
    <col min="4" max="4" width="30.54296875" style="2" customWidth="1"/>
    <col min="5" max="5" width="38.81640625" style="2" customWidth="1"/>
    <col min="6" max="6" width="43.26953125" style="2" customWidth="1"/>
    <col min="7" max="7" width="32.453125" style="1" customWidth="1"/>
    <col min="8" max="8" width="19" style="5" customWidth="1"/>
    <col min="9" max="9" width="17.81640625" style="1" customWidth="1"/>
    <col min="10" max="10" width="16.54296875" style="1" customWidth="1"/>
    <col min="11" max="11" width="5.7265625" style="1" bestFit="1" customWidth="1"/>
    <col min="12" max="12" width="29.26953125" style="1" bestFit="1" customWidth="1"/>
    <col min="13" max="13" width="32.81640625" style="1" customWidth="1"/>
    <col min="14" max="14" width="11.54296875" style="1" bestFit="1" customWidth="1"/>
    <col min="15" max="15" width="5.7265625" style="1" bestFit="1" customWidth="1"/>
    <col min="16" max="16" width="16" style="1" customWidth="1"/>
    <col min="17" max="17" width="5.81640625" style="1" customWidth="1"/>
    <col min="18" max="18" width="31" style="1" customWidth="1"/>
    <col min="19" max="19" width="15.1796875" style="1" bestFit="1" customWidth="1"/>
    <col min="20" max="20" width="6.81640625" style="1" customWidth="1"/>
    <col min="21" max="21" width="5" style="1" customWidth="1"/>
    <col min="22" max="22" width="5.54296875" style="1" customWidth="1"/>
    <col min="23" max="23" width="7.1796875" style="1" customWidth="1"/>
    <col min="24" max="24" width="6.7265625" style="1" customWidth="1"/>
    <col min="25" max="25" width="7.54296875" style="1" customWidth="1"/>
    <col min="26" max="26" width="6.81640625" style="1" customWidth="1"/>
    <col min="27" max="27" width="8.7265625" style="1" customWidth="1"/>
    <col min="28" max="28" width="10.453125" style="1" customWidth="1"/>
    <col min="29" max="29" width="9.26953125" style="1" customWidth="1"/>
    <col min="30" max="30" width="9.1796875" style="1" customWidth="1"/>
    <col min="31" max="31" width="8.453125" style="1" customWidth="1"/>
    <col min="32" max="32" width="6.54296875" style="1" customWidth="1"/>
    <col min="33" max="33" width="43.81640625" style="1" customWidth="1"/>
    <col min="34" max="34" width="31.1796875" style="1" customWidth="1"/>
    <col min="35" max="35" width="18.81640625" style="1" customWidth="1"/>
    <col min="36" max="36" width="16.81640625" style="1" customWidth="1"/>
    <col min="37" max="37" width="14.81640625" style="1" customWidth="1"/>
    <col min="38" max="38" width="18.54296875" style="1" customWidth="1"/>
    <col min="39" max="39" width="21" style="1" customWidth="1"/>
    <col min="40" max="16384" width="11.453125" style="1"/>
  </cols>
  <sheetData>
    <row r="1" spans="1:71" ht="16.5" hidden="1" customHeight="1" x14ac:dyDescent="0.3">
      <c r="A1" s="118"/>
      <c r="B1" s="118"/>
      <c r="C1" s="266" t="s">
        <v>142</v>
      </c>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row>
    <row r="2" spans="1:71" ht="24" hidden="1" customHeight="1" x14ac:dyDescent="0.3">
      <c r="A2" s="118"/>
      <c r="B2" s="118"/>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idden="1" x14ac:dyDescent="0.3">
      <c r="A3" s="118"/>
      <c r="B3" s="118"/>
      <c r="C3" s="234" t="s">
        <v>137</v>
      </c>
      <c r="D3" s="234"/>
      <c r="E3" s="234"/>
      <c r="F3" s="234"/>
      <c r="G3" s="234"/>
      <c r="H3" s="234"/>
      <c r="I3" s="234"/>
      <c r="J3" s="234" t="s">
        <v>138</v>
      </c>
      <c r="K3" s="234"/>
      <c r="L3" s="234"/>
      <c r="M3" s="234"/>
      <c r="N3" s="234"/>
      <c r="O3" s="234"/>
      <c r="P3" s="234"/>
      <c r="Q3" s="234" t="s">
        <v>139</v>
      </c>
      <c r="R3" s="234"/>
      <c r="S3" s="234"/>
      <c r="T3" s="234"/>
      <c r="U3" s="234"/>
      <c r="V3" s="234"/>
      <c r="W3" s="234"/>
      <c r="X3" s="234"/>
      <c r="Y3" s="234"/>
      <c r="Z3" s="234" t="s">
        <v>140</v>
      </c>
      <c r="AA3" s="234"/>
      <c r="AB3" s="234"/>
      <c r="AC3" s="234"/>
      <c r="AD3" s="234"/>
      <c r="AE3" s="234"/>
      <c r="AF3" s="234"/>
      <c r="AG3" s="234" t="s">
        <v>34</v>
      </c>
      <c r="AH3" s="234"/>
      <c r="AI3" s="234"/>
      <c r="AJ3" s="234"/>
      <c r="AK3" s="234"/>
      <c r="AL3" s="234"/>
      <c r="AM3" s="234"/>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6.5" customHeight="1" x14ac:dyDescent="0.3">
      <c r="A4" s="118"/>
      <c r="B4" s="118"/>
      <c r="C4" s="232" t="s">
        <v>0</v>
      </c>
      <c r="D4" s="234" t="s">
        <v>2</v>
      </c>
      <c r="E4" s="233" t="s">
        <v>3</v>
      </c>
      <c r="F4" s="233" t="s">
        <v>42</v>
      </c>
      <c r="G4" s="234" t="s">
        <v>1</v>
      </c>
      <c r="H4" s="233" t="s">
        <v>49</v>
      </c>
      <c r="I4" s="233" t="s">
        <v>133</v>
      </c>
      <c r="J4" s="233" t="s">
        <v>33</v>
      </c>
      <c r="K4" s="234" t="s">
        <v>5</v>
      </c>
      <c r="L4" s="233" t="s">
        <v>86</v>
      </c>
      <c r="M4" s="233" t="s">
        <v>91</v>
      </c>
      <c r="N4" s="233" t="s">
        <v>44</v>
      </c>
      <c r="O4" s="234" t="s">
        <v>5</v>
      </c>
      <c r="P4" s="233" t="s">
        <v>47</v>
      </c>
      <c r="Q4" s="242" t="s">
        <v>11</v>
      </c>
      <c r="R4" s="233" t="s">
        <v>161</v>
      </c>
      <c r="S4" s="233" t="s">
        <v>12</v>
      </c>
      <c r="T4" s="233" t="s">
        <v>8</v>
      </c>
      <c r="U4" s="233"/>
      <c r="V4" s="233"/>
      <c r="W4" s="233"/>
      <c r="X4" s="233"/>
      <c r="Y4" s="233"/>
      <c r="Z4" s="242" t="s">
        <v>136</v>
      </c>
      <c r="AA4" s="242" t="s">
        <v>45</v>
      </c>
      <c r="AB4" s="242" t="s">
        <v>5</v>
      </c>
      <c r="AC4" s="242" t="s">
        <v>46</v>
      </c>
      <c r="AD4" s="242" t="s">
        <v>5</v>
      </c>
      <c r="AE4" s="242" t="s">
        <v>48</v>
      </c>
      <c r="AF4" s="242" t="s">
        <v>29</v>
      </c>
      <c r="AG4" s="233" t="s">
        <v>34</v>
      </c>
      <c r="AH4" s="177"/>
      <c r="AI4" s="233" t="s">
        <v>35</v>
      </c>
      <c r="AJ4" s="233" t="s">
        <v>36</v>
      </c>
      <c r="AK4" s="233" t="s">
        <v>38</v>
      </c>
      <c r="AL4" s="233" t="s">
        <v>37</v>
      </c>
      <c r="AM4" s="233" t="s">
        <v>39</v>
      </c>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s="4" customFormat="1" ht="50.25" customHeight="1" x14ac:dyDescent="0.35">
      <c r="A5" s="119" t="s">
        <v>43</v>
      </c>
      <c r="B5" s="119" t="s">
        <v>213</v>
      </c>
      <c r="C5" s="232"/>
      <c r="D5" s="234"/>
      <c r="E5" s="233"/>
      <c r="F5" s="233"/>
      <c r="G5" s="234"/>
      <c r="H5" s="233"/>
      <c r="I5" s="233"/>
      <c r="J5" s="233"/>
      <c r="K5" s="234"/>
      <c r="L5" s="233"/>
      <c r="M5" s="233"/>
      <c r="N5" s="234"/>
      <c r="O5" s="234"/>
      <c r="P5" s="233"/>
      <c r="Q5" s="242"/>
      <c r="R5" s="233"/>
      <c r="S5" s="233"/>
      <c r="T5" s="140" t="s">
        <v>13</v>
      </c>
      <c r="U5" s="140" t="s">
        <v>17</v>
      </c>
      <c r="V5" s="140" t="s">
        <v>28</v>
      </c>
      <c r="W5" s="140" t="s">
        <v>18</v>
      </c>
      <c r="X5" s="140" t="s">
        <v>21</v>
      </c>
      <c r="Y5" s="140" t="s">
        <v>24</v>
      </c>
      <c r="Z5" s="242"/>
      <c r="AA5" s="242"/>
      <c r="AB5" s="242"/>
      <c r="AC5" s="242"/>
      <c r="AD5" s="242"/>
      <c r="AE5" s="242"/>
      <c r="AF5" s="242"/>
      <c r="AG5" s="233"/>
      <c r="AH5" s="177" t="s">
        <v>468</v>
      </c>
      <c r="AI5" s="233"/>
      <c r="AJ5" s="233"/>
      <c r="AK5" s="233"/>
      <c r="AL5" s="233"/>
      <c r="AM5" s="23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s="3" customFormat="1" ht="167.25" customHeight="1" x14ac:dyDescent="0.35">
      <c r="A6" s="236" t="s">
        <v>212</v>
      </c>
      <c r="B6" s="120" t="s">
        <v>214</v>
      </c>
      <c r="C6" s="120">
        <v>68</v>
      </c>
      <c r="D6" s="154" t="s">
        <v>130</v>
      </c>
      <c r="E6" s="154" t="s">
        <v>250</v>
      </c>
      <c r="F6" s="154" t="s">
        <v>251</v>
      </c>
      <c r="G6" s="154" t="s">
        <v>252</v>
      </c>
      <c r="H6" s="121" t="s">
        <v>122</v>
      </c>
      <c r="I6" s="123">
        <v>52</v>
      </c>
      <c r="J6" s="124" t="str">
        <f>IF(I6&lt;=0,"",IF(I6&lt;=2,"Muy Baja",IF(I6&lt;=24,"Baja",IF(I6&lt;=500,"Media",IF(I6&lt;=5000,"Alta","Muy Alta")))))</f>
        <v>Media</v>
      </c>
      <c r="K6" s="125">
        <f>IF(J6="","",IF(J6="Muy Baja",0.2,IF(J6="Baja",0.4,IF(J6="Media",0.6,IF(J6="Alta",0.8,IF(J6="Muy Alta",1,))))))</f>
        <v>0.6</v>
      </c>
      <c r="L6" s="126" t="s">
        <v>153</v>
      </c>
      <c r="M6" s="235" t="str">
        <f>IF(NOT(ISERROR(MATCH(L6,'Tabla Impacto'!$B$221:$B$223,0))),'Tabla Impacto'!$F$223&amp;"Por favor no seleccionar los criterios de impacto(Afectación Económica o presupuestal y Pérdida Reputacional)",L6)</f>
        <v xml:space="preserve">     El riesgo afecta la imagen de la entidad con algunos usuarios de relevancia frente al logro de los objetivos</v>
      </c>
      <c r="N6" s="124" t="str">
        <f>IF(OR(M6='Tabla Impacto'!$C$11,M6='Tabla Impacto'!$D$11),"Leve",IF(OR(M6='Tabla Impacto'!$C$12,M6='Tabla Impacto'!$D$12),"Menor",IF(OR(M6='Tabla Impacto'!$C$13,M6='Tabla Impacto'!$D$13),"Moderado",IF(OR(M6='Tabla Impacto'!$C$14,M6='Tabla Impacto'!$D$14),"Mayor",IF(OR(M6='Tabla Impacto'!$C$15,M6='Tabla Impacto'!$D$15),"Catastrófico","")))))</f>
        <v>Moderado</v>
      </c>
      <c r="O6" s="125">
        <f>IF(N6="","",IF(N6="Leve",0.2,IF(N6="Menor",0.4,IF(N6="Moderado",0.6,IF(N6="Mayor",0.8,IF(N6="Catastrófico",1,))))))</f>
        <v>0.6</v>
      </c>
      <c r="P6" s="127" t="str">
        <f>IF(OR(AND(J6="Muy Baja",N6="Leve"),AND(J6="Muy Baja",N6="Menor"),AND(J6="Baja",N6="Leve")),"Bajo",IF(OR(AND(J6="Muy baja",N6="Moderado"),AND(J6="Baja",N6="Menor"),AND(J6="Baja",N6="Moderado"),AND(J6="Media",N6="Leve"),AND(J6="Media",N6="Menor"),AND(J6="Media",N6="Moderado"),AND(J6="Alta",N6="Leve"),AND(J6="Alta",N6="Menor")),"Moderado",IF(OR(AND(J6="Muy Baja",N6="Mayor"),AND(J6="Baja",N6="Mayor"),AND(J6="Media",N6="Mayor"),AND(J6="Alta",N6="Moderado"),AND(J6="Alta",N6="Mayor"),AND(J6="Muy Alta",N6="Leve"),AND(J6="Muy Alta",N6="Menor"),AND(J6="Muy Alta",N6="Moderado"),AND(J6="Muy Alta",N6="Mayor")),"Alto",IF(OR(AND(J6="Muy Baja",N6="Catastrófico"),AND(J6="Baja",N6="Catastrófico"),AND(J6="Media",N6="Catastrófico"),AND(J6="Alta",N6="Catastrófico"),AND(J6="Muy Alta",N6="Catastrófico")),"Extremo",""))))</f>
        <v>Moderado</v>
      </c>
      <c r="Q6" s="128">
        <v>2</v>
      </c>
      <c r="R6" s="164" t="s">
        <v>282</v>
      </c>
      <c r="S6" s="130" t="str">
        <f>IF(OR(T6="Preventivo",T6="Detectivo"),"Probabilidad",IF(T6="Correctivo","Impacto",""))</f>
        <v>Probabilidad</v>
      </c>
      <c r="T6" s="131" t="s">
        <v>14</v>
      </c>
      <c r="U6" s="131" t="s">
        <v>9</v>
      </c>
      <c r="V6" s="132" t="str">
        <f>IF(AND(T6="Preventivo",U6="Automático"),"50%",IF(AND(T6="Preventivo",U6="Manual"),"40%",IF(AND(T6="Detectivo",U6="Automático"),"40%",IF(AND(T6="Detectivo",U6="Manual"),"30%",IF(AND(T6="Correctivo",U6="Automático"),"35%",IF(AND(T6="Correctivo",U6="Manual"),"25%",""))))))</f>
        <v>40%</v>
      </c>
      <c r="W6" s="131" t="s">
        <v>19</v>
      </c>
      <c r="X6" s="131" t="s">
        <v>22</v>
      </c>
      <c r="Y6" s="131" t="s">
        <v>118</v>
      </c>
      <c r="Z6" s="133">
        <f>IFERROR(IF(S6="Probabilidad",(K6-(+K6*V6)),IF(S6="Impacto",K6,"")),"")</f>
        <v>0.36</v>
      </c>
      <c r="AA6" s="134" t="str">
        <f>IFERROR(IF(Z6="","",IF(Z6&lt;=0.2,"Muy Baja",IF(Z6&lt;=0.4,"Baja",IF(Z6&lt;=0.6,"Media",IF(Z6&lt;=0.8,"Alta","Muy Alta"))))),"")</f>
        <v>Baja</v>
      </c>
      <c r="AB6" s="132">
        <f>+Z6</f>
        <v>0.36</v>
      </c>
      <c r="AC6" s="134" t="str">
        <f>IFERROR(IF(AD6="","",IF(AD6&lt;=0.2,"Leve",IF(AD6&lt;=0.4,"Menor",IF(AD6&lt;=0.6,"Moderado",IF(AD6&lt;=0.8,"Mayor","Catastrófico"))))),"")</f>
        <v>Moderado</v>
      </c>
      <c r="AD6" s="132">
        <f>IFERROR(IF(S6="Impacto",(O6-(+O6*V6)),IF(S6="Probabilidad",O6,"")),"")</f>
        <v>0.6</v>
      </c>
      <c r="AE6" s="135" t="str">
        <f>IFERROR(IF(OR(AND(AA6="Muy Baja",AC6="Leve"),AND(AA6="Muy Baja",AC6="Menor"),AND(AA6="Baja",AC6="Leve")),"Bajo",IF(OR(AND(AA6="Muy baja",AC6="Moderado"),AND(AA6="Baja",AC6="Menor"),AND(AA6="Baja",AC6="Moderado"),AND(AA6="Media",AC6="Leve"),AND(AA6="Media",AC6="Menor"),AND(AA6="Media",AC6="Moderado"),AND(AA6="Alta",AC6="Leve"),AND(AA6="Alta",AC6="Menor")),"Moderado",IF(OR(AND(AA6="Muy Baja",AC6="Mayor"),AND(AA6="Baja",AC6="Mayor"),AND(AA6="Media",AC6="Mayor"),AND(AA6="Alta",AC6="Moderado"),AND(AA6="Alta",AC6="Mayor"),AND(AA6="Muy Alta",AC6="Leve"),AND(AA6="Muy Alta",AC6="Menor"),AND(AA6="Muy Alta",AC6="Moderado"),AND(AA6="Muy Alta",AC6="Mayor")),"Alto",IF(OR(AND(AA6="Muy Baja",AC6="Catastrófico"),AND(AA6="Baja",AC6="Catastrófico"),AND(AA6="Media",AC6="Catastrófico"),AND(AA6="Alta",AC6="Catastrófico"),AND(AA6="Muy Alta",AC6="Catastrófico")),"Extremo","")))),"")</f>
        <v>Moderado</v>
      </c>
      <c r="AF6" s="131" t="s">
        <v>134</v>
      </c>
      <c r="AG6" s="138" t="s">
        <v>292</v>
      </c>
      <c r="AH6" s="138"/>
      <c r="AI6" s="139" t="s">
        <v>293</v>
      </c>
      <c r="AJ6" s="141">
        <v>45322</v>
      </c>
      <c r="AK6" s="141">
        <v>45657</v>
      </c>
      <c r="AL6" s="138"/>
      <c r="AM6" s="139"/>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ht="151.5" customHeight="1" x14ac:dyDescent="0.3">
      <c r="A7" s="237"/>
      <c r="B7" s="120" t="s">
        <v>214</v>
      </c>
      <c r="C7" s="120">
        <v>1</v>
      </c>
      <c r="D7" s="154" t="s">
        <v>132</v>
      </c>
      <c r="E7" s="154" t="s">
        <v>253</v>
      </c>
      <c r="F7" s="154" t="s">
        <v>254</v>
      </c>
      <c r="G7" s="154" t="s">
        <v>255</v>
      </c>
      <c r="H7" s="121" t="s">
        <v>122</v>
      </c>
      <c r="I7" s="123">
        <v>500</v>
      </c>
      <c r="J7" s="124" t="str">
        <f>IF(I7&lt;=0,"",IF(I7&lt;=2,"Muy Baja",IF(I7&lt;=24,"Baja",IF(I7&lt;=500,"Media",IF(I7&lt;=5000,"Alta","Muy Alta")))))</f>
        <v>Media</v>
      </c>
      <c r="K7" s="125">
        <f t="shared" ref="K7:K51" si="0">IF(J7="","",IF(J7="Muy Baja",0.2,IF(J7="Baja",0.4,IF(J7="Media",0.6,IF(J7="Alta",0.8,IF(J7="Muy Alta",1,))))))</f>
        <v>0.6</v>
      </c>
      <c r="L7" s="126" t="s">
        <v>149</v>
      </c>
      <c r="M7" s="235" t="str">
        <f ca="1">IF(NOT(ISERROR(MATCH(L7,_xlfn.ANCHORARRAY(#REF!),0))),#REF!&amp;"Por favor no seleccionar los criterios de impacto",L7)</f>
        <v xml:space="preserve">     Entre 100 y 500 SMLMV </v>
      </c>
      <c r="N7" s="124" t="str">
        <f ca="1">IF(OR(M7='Tabla Impacto'!$C$11,M7='Tabla Impacto'!$D$11),"Leve",IF(OR(M7='Tabla Impacto'!$C$12,M7='Tabla Impacto'!$D$12),"Menor",IF(OR(M7='Tabla Impacto'!$C$13,M7='Tabla Impacto'!$D$13),"Moderado",IF(OR(M7='Tabla Impacto'!$C$14,M7='Tabla Impacto'!$D$14),"Mayor",IF(OR(M7='Tabla Impacto'!$C$15,M7='Tabla Impacto'!$D$15),"Catastrófico","")))))</f>
        <v>Mayor</v>
      </c>
      <c r="O7" s="125">
        <f t="shared" ref="O7:O51" ca="1" si="1">IF(N7="","",IF(N7="Leve",0.2,IF(N7="Menor",0.4,IF(N7="Moderado",0.6,IF(N7="Mayor",0.8,IF(N7="Catastrófico",1,))))))</f>
        <v>0.8</v>
      </c>
      <c r="P7" s="127" t="str">
        <f t="shared" ref="P7:P51" ca="1" si="2">IF(OR(AND(J7="Muy Baja",N7="Leve"),AND(J7="Muy Baja",N7="Menor"),AND(J7="Baja",N7="Leve")),"Bajo",IF(OR(AND(J7="Muy baja",N7="Moderado"),AND(J7="Baja",N7="Menor"),AND(J7="Baja",N7="Moderado"),AND(J7="Media",N7="Leve"),AND(J7="Media",N7="Menor"),AND(J7="Media",N7="Moderado"),AND(J7="Alta",N7="Leve"),AND(J7="Alta",N7="Menor")),"Moderado",IF(OR(AND(J7="Muy Baja",N7="Mayor"),AND(J7="Baja",N7="Mayor"),AND(J7="Media",N7="Mayor"),AND(J7="Alta",N7="Moderado"),AND(J7="Alta",N7="Mayor"),AND(J7="Muy Alta",N7="Leve"),AND(J7="Muy Alta",N7="Menor"),AND(J7="Muy Alta",N7="Moderado"),AND(J7="Muy Alta",N7="Mayor")),"Alto",IF(OR(AND(J7="Muy Baja",N7="Catastrófico"),AND(J7="Baja",N7="Catastrófico"),AND(J7="Media",N7="Catastrófico"),AND(J7="Alta",N7="Catastrófico"),AND(J7="Muy Alta",N7="Catastrófico")),"Extremo",""))))</f>
        <v>Alto</v>
      </c>
      <c r="Q7" s="128">
        <v>1</v>
      </c>
      <c r="R7" s="154" t="s">
        <v>283</v>
      </c>
      <c r="S7" s="130" t="str">
        <f t="shared" ref="S7:S51" si="3">IF(OR(T7="Preventivo",T7="Detectivo"),"Probabilidad",IF(T7="Correctivo","Impacto",""))</f>
        <v>Probabilidad</v>
      </c>
      <c r="T7" s="131" t="s">
        <v>15</v>
      </c>
      <c r="U7" s="131" t="s">
        <v>10</v>
      </c>
      <c r="V7" s="132" t="str">
        <f t="shared" ref="V7:V51" si="4">IF(AND(T7="Preventivo",U7="Automático"),"50%",IF(AND(T7="Preventivo",U7="Manual"),"40%",IF(AND(T7="Detectivo",U7="Automático"),"40%",IF(AND(T7="Detectivo",U7="Manual"),"30%",IF(AND(T7="Correctivo",U7="Automático"),"35%",IF(AND(T7="Correctivo",U7="Manual"),"25%",""))))))</f>
        <v>40%</v>
      </c>
      <c r="W7" s="131" t="s">
        <v>20</v>
      </c>
      <c r="X7" s="131" t="s">
        <v>22</v>
      </c>
      <c r="Y7" s="131" t="s">
        <v>119</v>
      </c>
      <c r="Z7" s="133">
        <f>IFERROR(IF(AND(S6="Probabilidad",S7="Probabilidad"),(AB6-(+AB6*V7)),IF(S7="Probabilidad",(K6-(+K6*V7)),IF(S7="Impacto",AB6,""))),"")</f>
        <v>0.216</v>
      </c>
      <c r="AA7" s="134" t="str">
        <f t="shared" ref="AA7:AA51" si="5">IFERROR(IF(Z7="","",IF(Z7&lt;=0.2,"Muy Baja",IF(Z7&lt;=0.4,"Baja",IF(Z7&lt;=0.6,"Media",IF(Z7&lt;=0.8,"Alta","Muy Alta"))))),"")</f>
        <v>Baja</v>
      </c>
      <c r="AB7" s="132">
        <f t="shared" ref="AB7:AB51" si="6">+Z7</f>
        <v>0.216</v>
      </c>
      <c r="AC7" s="134" t="str">
        <f t="shared" ref="AC7:AC51" ca="1" si="7">IFERROR(IF(AD7="","",IF(AD7&lt;=0.2,"Leve",IF(AD7&lt;=0.4,"Menor",IF(AD7&lt;=0.6,"Moderado",IF(AD7&lt;=0.8,"Mayor","Catastrófico"))))),"")</f>
        <v>Mayor</v>
      </c>
      <c r="AD7" s="132">
        <f t="shared" ref="AD7:AD51" ca="1" si="8">IFERROR(IF(S7="Impacto",(O7-(+O7*V7)),IF(S7="Probabilidad",O7,"")),"")</f>
        <v>0.8</v>
      </c>
      <c r="AE7" s="135" t="str">
        <f t="shared" ref="AE7:AE51" ca="1" si="9">IFERROR(IF(OR(AND(AA7="Muy Baja",AC7="Leve"),AND(AA7="Muy Baja",AC7="Menor"),AND(AA7="Baja",AC7="Leve")),"Bajo",IF(OR(AND(AA7="Muy baja",AC7="Moderado"),AND(AA7="Baja",AC7="Menor"),AND(AA7="Baja",AC7="Moderado"),AND(AA7="Media",AC7="Leve"),AND(AA7="Media",AC7="Menor"),AND(AA7="Media",AC7="Moderado"),AND(AA7="Alta",AC7="Leve"),AND(AA7="Alta",AC7="Menor")),"Moderado",IF(OR(AND(AA7="Muy Baja",AC7="Mayor"),AND(AA7="Baja",AC7="Mayor"),AND(AA7="Media",AC7="Mayor"),AND(AA7="Alta",AC7="Moderado"),AND(AA7="Alta",AC7="Mayor"),AND(AA7="Muy Alta",AC7="Leve"),AND(AA7="Muy Alta",AC7="Menor"),AND(AA7="Muy Alta",AC7="Moderado"),AND(AA7="Muy Alta",AC7="Mayor")),"Alto",IF(OR(AND(AA7="Muy Baja",AC7="Catastrófico"),AND(AA7="Baja",AC7="Catastrófico"),AND(AA7="Media",AC7="Catastrófico"),AND(AA7="Alta",AC7="Catastrófico"),AND(AA7="Muy Alta",AC7="Catastrófico")),"Extremo","")))),"")</f>
        <v>Alto</v>
      </c>
      <c r="AF7" s="131" t="s">
        <v>134</v>
      </c>
      <c r="AG7" s="138" t="s">
        <v>294</v>
      </c>
      <c r="AH7" s="138"/>
      <c r="AI7" s="139" t="s">
        <v>293</v>
      </c>
      <c r="AJ7" s="141">
        <v>45322</v>
      </c>
      <c r="AK7" s="141">
        <v>45657</v>
      </c>
      <c r="AL7" s="138"/>
      <c r="AM7" s="139"/>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row>
    <row r="8" spans="1:71" ht="151.5" customHeight="1" x14ac:dyDescent="0.3">
      <c r="A8" s="237"/>
      <c r="B8" s="120" t="s">
        <v>214</v>
      </c>
      <c r="C8" s="120">
        <v>2</v>
      </c>
      <c r="D8" s="154" t="s">
        <v>132</v>
      </c>
      <c r="E8" s="154" t="s">
        <v>256</v>
      </c>
      <c r="F8" s="154" t="s">
        <v>257</v>
      </c>
      <c r="G8" s="154" t="s">
        <v>258</v>
      </c>
      <c r="H8" s="121" t="s">
        <v>122</v>
      </c>
      <c r="I8" s="123">
        <v>5000</v>
      </c>
      <c r="J8" s="124" t="str">
        <f t="shared" ref="J8:J18" si="10">IF(I8&lt;=0,"",IF(I8&lt;=2,"Muy Baja",IF(I8&lt;=24,"Baja",IF(I8&lt;=500,"Media",IF(I8&lt;=5000,"Alta","Muy Alta")))))</f>
        <v>Alta</v>
      </c>
      <c r="K8" s="125">
        <f t="shared" si="0"/>
        <v>0.8</v>
      </c>
      <c r="L8" s="126" t="s">
        <v>149</v>
      </c>
      <c r="M8" s="235" t="str">
        <f ca="1">IF(NOT(ISERROR(MATCH(L8,_xlfn.ANCHORARRAY(#REF!),0))),#REF!&amp;"Por favor no seleccionar los criterios de impacto",L8)</f>
        <v xml:space="preserve">     Entre 100 y 500 SMLMV </v>
      </c>
      <c r="N8" s="124" t="str">
        <f ca="1">IF(OR(M8='Tabla Impacto'!$C$11,M8='Tabla Impacto'!$D$11),"Leve",IF(OR(M8='Tabla Impacto'!$C$12,M8='Tabla Impacto'!$D$12),"Menor",IF(OR(M8='Tabla Impacto'!$C$13,M8='Tabla Impacto'!$D$13),"Moderado",IF(OR(M8='Tabla Impacto'!$C$14,M8='Tabla Impacto'!$D$14),"Mayor",IF(OR(M8='Tabla Impacto'!$C$15,M8='Tabla Impacto'!$D$15),"Catastrófico","")))))</f>
        <v>Mayor</v>
      </c>
      <c r="O8" s="125">
        <f t="shared" ca="1" si="1"/>
        <v>0.8</v>
      </c>
      <c r="P8" s="127" t="str">
        <f t="shared" ca="1" si="2"/>
        <v>Alto</v>
      </c>
      <c r="Q8" s="128">
        <v>1</v>
      </c>
      <c r="R8" s="154" t="s">
        <v>284</v>
      </c>
      <c r="S8" s="130" t="str">
        <f t="shared" si="3"/>
        <v>Probabilidad</v>
      </c>
      <c r="T8" s="131" t="s">
        <v>14</v>
      </c>
      <c r="U8" s="131" t="s">
        <v>9</v>
      </c>
      <c r="V8" s="132" t="str">
        <f t="shared" si="4"/>
        <v>40%</v>
      </c>
      <c r="W8" s="131" t="s">
        <v>20</v>
      </c>
      <c r="X8" s="131" t="s">
        <v>22</v>
      </c>
      <c r="Y8" s="131" t="s">
        <v>118</v>
      </c>
      <c r="Z8" s="133">
        <f>IFERROR(IF(AND(S7="Probabilidad",S8="Probabilidad"),(AB7-(+AB7*V8)),IF(AND(S7="Impacto",S8="Probabilidad"),(AB6-(+AB6*V8)),IF(S8="Impacto",AB7,""))),"")</f>
        <v>0.12959999999999999</v>
      </c>
      <c r="AA8" s="134" t="str">
        <f t="shared" si="5"/>
        <v>Muy Baja</v>
      </c>
      <c r="AB8" s="132">
        <f t="shared" si="6"/>
        <v>0.12959999999999999</v>
      </c>
      <c r="AC8" s="134" t="str">
        <f t="shared" ca="1" si="7"/>
        <v>Mayor</v>
      </c>
      <c r="AD8" s="132">
        <f t="shared" ca="1" si="8"/>
        <v>0.8</v>
      </c>
      <c r="AE8" s="135" t="str">
        <f t="shared" ca="1" si="9"/>
        <v>Alto</v>
      </c>
      <c r="AF8" s="131" t="s">
        <v>134</v>
      </c>
      <c r="AG8" s="138" t="s">
        <v>295</v>
      </c>
      <c r="AH8" s="138"/>
      <c r="AI8" s="139" t="s">
        <v>293</v>
      </c>
      <c r="AJ8" s="141">
        <v>45444</v>
      </c>
      <c r="AK8" s="141">
        <v>45657</v>
      </c>
      <c r="AL8" s="138"/>
      <c r="AM8" s="139"/>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row>
    <row r="9" spans="1:71" ht="151.5" customHeight="1" x14ac:dyDescent="0.3">
      <c r="A9" s="237"/>
      <c r="B9" s="137" t="s">
        <v>248</v>
      </c>
      <c r="C9" s="120">
        <v>9</v>
      </c>
      <c r="D9" s="154" t="s">
        <v>131</v>
      </c>
      <c r="E9" s="154" t="s">
        <v>259</v>
      </c>
      <c r="F9" s="154" t="s">
        <v>260</v>
      </c>
      <c r="G9" s="154" t="s">
        <v>261</v>
      </c>
      <c r="H9" s="121" t="s">
        <v>122</v>
      </c>
      <c r="I9" s="123">
        <v>5000</v>
      </c>
      <c r="J9" s="124" t="str">
        <f t="shared" si="10"/>
        <v>Alta</v>
      </c>
      <c r="K9" s="125">
        <f t="shared" si="0"/>
        <v>0.8</v>
      </c>
      <c r="L9" s="126" t="s">
        <v>149</v>
      </c>
      <c r="M9" s="235" t="str">
        <f ca="1">IF(NOT(ISERROR(MATCH(L9,_xlfn.ANCHORARRAY(#REF!),0))),K17&amp;"Por favor no seleccionar los criterios de impacto",L9)</f>
        <v xml:space="preserve">     Entre 100 y 500 SMLMV </v>
      </c>
      <c r="N9" s="124" t="str">
        <f ca="1">IF(OR(M9='Tabla Impacto'!$C$11,M9='Tabla Impacto'!$D$11),"Leve",IF(OR(M9='Tabla Impacto'!$C$12,M9='Tabla Impacto'!$D$12),"Menor",IF(OR(M9='Tabla Impacto'!$C$13,M9='Tabla Impacto'!$D$13),"Moderado",IF(OR(M9='Tabla Impacto'!$C$14,M9='Tabla Impacto'!$D$14),"Mayor",IF(OR(M9='Tabla Impacto'!$C$15,M9='Tabla Impacto'!$D$15),"Catastrófico","")))))</f>
        <v>Mayor</v>
      </c>
      <c r="O9" s="125">
        <f t="shared" ca="1" si="1"/>
        <v>0.8</v>
      </c>
      <c r="P9" s="127" t="str">
        <f t="shared" ca="1" si="2"/>
        <v>Alto</v>
      </c>
      <c r="Q9" s="128">
        <v>1</v>
      </c>
      <c r="R9" s="136" t="s">
        <v>285</v>
      </c>
      <c r="S9" s="130" t="str">
        <f t="shared" si="3"/>
        <v>Probabilidad</v>
      </c>
      <c r="T9" s="131" t="s">
        <v>15</v>
      </c>
      <c r="U9" s="131" t="s">
        <v>9</v>
      </c>
      <c r="V9" s="132" t="str">
        <f t="shared" si="4"/>
        <v>30%</v>
      </c>
      <c r="W9" s="131" t="s">
        <v>20</v>
      </c>
      <c r="X9" s="131" t="s">
        <v>23</v>
      </c>
      <c r="Y9" s="131" t="s">
        <v>119</v>
      </c>
      <c r="Z9" s="133">
        <f t="shared" ref="Z9:Z11" si="11">IFERROR(IF(AND(S8="Probabilidad",S9="Probabilidad"),(AB8-(+AB8*V9)),IF(AND(S8="Impacto",S9="Probabilidad"),(AB7-(+AB7*V9)),IF(S9="Impacto",AB8,""))),"")</f>
        <v>9.0719999999999995E-2</v>
      </c>
      <c r="AA9" s="134" t="str">
        <f t="shared" si="5"/>
        <v>Muy Baja</v>
      </c>
      <c r="AB9" s="132">
        <f t="shared" si="6"/>
        <v>9.0719999999999995E-2</v>
      </c>
      <c r="AC9" s="134" t="str">
        <f t="shared" ca="1" si="7"/>
        <v>Mayor</v>
      </c>
      <c r="AD9" s="132">
        <f t="shared" ca="1" si="8"/>
        <v>0.8</v>
      </c>
      <c r="AE9" s="135" t="str">
        <f t="shared" ca="1" si="9"/>
        <v>Alto</v>
      </c>
      <c r="AF9" s="131" t="s">
        <v>134</v>
      </c>
      <c r="AG9" s="138" t="s">
        <v>296</v>
      </c>
      <c r="AH9" s="138"/>
      <c r="AI9" s="139" t="s">
        <v>297</v>
      </c>
      <c r="AJ9" s="141">
        <v>44957</v>
      </c>
      <c r="AK9" s="141">
        <v>45291</v>
      </c>
      <c r="AL9" s="138"/>
      <c r="AM9" s="139"/>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row>
    <row r="10" spans="1:71" ht="151.5" customHeight="1" x14ac:dyDescent="0.3">
      <c r="A10" s="237"/>
      <c r="B10" s="137" t="s">
        <v>248</v>
      </c>
      <c r="C10" s="120">
        <v>10</v>
      </c>
      <c r="D10" s="154" t="s">
        <v>132</v>
      </c>
      <c r="E10" s="154" t="s">
        <v>262</v>
      </c>
      <c r="F10" s="154" t="s">
        <v>263</v>
      </c>
      <c r="G10" s="154" t="s">
        <v>264</v>
      </c>
      <c r="H10" s="121" t="s">
        <v>122</v>
      </c>
      <c r="I10" s="123">
        <v>365</v>
      </c>
      <c r="J10" s="124" t="str">
        <f t="shared" si="10"/>
        <v>Media</v>
      </c>
      <c r="K10" s="125">
        <f t="shared" si="0"/>
        <v>0.6</v>
      </c>
      <c r="L10" s="126" t="s">
        <v>153</v>
      </c>
      <c r="M10" s="235" t="str">
        <f ca="1">IF(NOT(ISERROR(MATCH(L10,_xlfn.ANCHORARRAY(#REF!),0))),K18&amp;"Por favor no seleccionar los criterios de impacto",L10)</f>
        <v xml:space="preserve">     El riesgo afecta la imagen de la entidad con algunos usuarios de relevancia frente al logro de los objetivos</v>
      </c>
      <c r="N10" s="124" t="str">
        <f ca="1">IF(OR(M10='Tabla Impacto'!$C$11,M10='Tabla Impacto'!$D$11),"Leve",IF(OR(M10='Tabla Impacto'!$C$12,M10='Tabla Impacto'!$D$12),"Menor",IF(OR(M10='Tabla Impacto'!$C$13,M10='Tabla Impacto'!$D$13),"Moderado",IF(OR(M10='Tabla Impacto'!$C$14,M10='Tabla Impacto'!$D$14),"Mayor",IF(OR(M10='Tabla Impacto'!$C$15,M10='Tabla Impacto'!$D$15),"Catastrófico","")))))</f>
        <v>Moderado</v>
      </c>
      <c r="O10" s="125">
        <f t="shared" ca="1" si="1"/>
        <v>0.6</v>
      </c>
      <c r="P10" s="127" t="str">
        <f t="shared" ca="1" si="2"/>
        <v>Moderado</v>
      </c>
      <c r="Q10" s="128">
        <v>1</v>
      </c>
      <c r="R10" s="164" t="s">
        <v>286</v>
      </c>
      <c r="S10" s="130" t="str">
        <f t="shared" si="3"/>
        <v>Probabilidad</v>
      </c>
      <c r="T10" s="131" t="s">
        <v>14</v>
      </c>
      <c r="U10" s="131" t="s">
        <v>9</v>
      </c>
      <c r="V10" s="132" t="str">
        <f t="shared" si="4"/>
        <v>40%</v>
      </c>
      <c r="W10" s="131" t="s">
        <v>19</v>
      </c>
      <c r="X10" s="131" t="s">
        <v>22</v>
      </c>
      <c r="Y10" s="131" t="s">
        <v>118</v>
      </c>
      <c r="Z10" s="133">
        <f t="shared" si="11"/>
        <v>5.4431999999999994E-2</v>
      </c>
      <c r="AA10" s="134" t="str">
        <f t="shared" si="5"/>
        <v>Muy Baja</v>
      </c>
      <c r="AB10" s="132">
        <f t="shared" si="6"/>
        <v>5.4431999999999994E-2</v>
      </c>
      <c r="AC10" s="134" t="str">
        <f t="shared" ca="1" si="7"/>
        <v>Moderado</v>
      </c>
      <c r="AD10" s="132">
        <f t="shared" ca="1" si="8"/>
        <v>0.6</v>
      </c>
      <c r="AE10" s="135" t="str">
        <f t="shared" ca="1" si="9"/>
        <v>Moderado</v>
      </c>
      <c r="AF10" s="131" t="s">
        <v>134</v>
      </c>
      <c r="AG10" s="138" t="s">
        <v>298</v>
      </c>
      <c r="AH10" s="138"/>
      <c r="AI10" s="139" t="s">
        <v>297</v>
      </c>
      <c r="AJ10" s="141">
        <v>45322</v>
      </c>
      <c r="AK10" s="141">
        <v>45657</v>
      </c>
      <c r="AL10" s="138"/>
      <c r="AM10" s="139"/>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row>
    <row r="11" spans="1:71" ht="151.5" customHeight="1" x14ac:dyDescent="0.3">
      <c r="A11" s="237"/>
      <c r="B11" s="137" t="s">
        <v>249</v>
      </c>
      <c r="C11" s="154">
        <v>11</v>
      </c>
      <c r="D11" s="154" t="s">
        <v>131</v>
      </c>
      <c r="E11" s="154" t="s">
        <v>265</v>
      </c>
      <c r="F11" s="154" t="s">
        <v>266</v>
      </c>
      <c r="G11" s="154" t="s">
        <v>267</v>
      </c>
      <c r="H11" s="121" t="s">
        <v>122</v>
      </c>
      <c r="I11" s="123">
        <v>300</v>
      </c>
      <c r="J11" s="124" t="str">
        <f t="shared" si="10"/>
        <v>Media</v>
      </c>
      <c r="K11" s="125">
        <f t="shared" si="0"/>
        <v>0.6</v>
      </c>
      <c r="L11" s="126" t="s">
        <v>153</v>
      </c>
      <c r="M11" s="235" t="str">
        <f ca="1">IF(NOT(ISERROR(MATCH(L11,_xlfn.ANCHORARRAY(G17),0))),K19&amp;"Por favor no seleccionar los criterios de impacto",L11)</f>
        <v xml:space="preserve">     El riesgo afecta la imagen de la entidad con algunos usuarios de relevancia frente al logro de los objetivos</v>
      </c>
      <c r="N11" s="124" t="str">
        <f ca="1">IF(OR(M11='Tabla Impacto'!$C$11,M11='Tabla Impacto'!$D$11),"Leve",IF(OR(M11='Tabla Impacto'!$C$12,M11='Tabla Impacto'!$D$12),"Menor",IF(OR(M11='Tabla Impacto'!$C$13,M11='Tabla Impacto'!$D$13),"Moderado",IF(OR(M11='Tabla Impacto'!$C$14,M11='Tabla Impacto'!$D$14),"Mayor",IF(OR(M11='Tabla Impacto'!$C$15,M11='Tabla Impacto'!$D$15),"Catastrófico","")))))</f>
        <v>Moderado</v>
      </c>
      <c r="O11" s="125">
        <f t="shared" ca="1" si="1"/>
        <v>0.6</v>
      </c>
      <c r="P11" s="127" t="str">
        <f t="shared" ca="1" si="2"/>
        <v>Moderado</v>
      </c>
      <c r="Q11" s="128">
        <v>1</v>
      </c>
      <c r="R11" s="164" t="s">
        <v>287</v>
      </c>
      <c r="S11" s="130" t="str">
        <f t="shared" si="3"/>
        <v>Probabilidad</v>
      </c>
      <c r="T11" s="131" t="s">
        <v>14</v>
      </c>
      <c r="U11" s="131" t="s">
        <v>9</v>
      </c>
      <c r="V11" s="132" t="str">
        <f t="shared" si="4"/>
        <v>40%</v>
      </c>
      <c r="W11" s="131" t="s">
        <v>19</v>
      </c>
      <c r="X11" s="131" t="s">
        <v>22</v>
      </c>
      <c r="Y11" s="131" t="s">
        <v>118</v>
      </c>
      <c r="Z11" s="133">
        <f t="shared" si="11"/>
        <v>3.2659199999999999E-2</v>
      </c>
      <c r="AA11" s="134" t="str">
        <f t="shared" si="5"/>
        <v>Muy Baja</v>
      </c>
      <c r="AB11" s="132">
        <f t="shared" si="6"/>
        <v>3.2659199999999999E-2</v>
      </c>
      <c r="AC11" s="134" t="str">
        <f t="shared" ca="1" si="7"/>
        <v>Moderado</v>
      </c>
      <c r="AD11" s="132">
        <f t="shared" ca="1" si="8"/>
        <v>0.6</v>
      </c>
      <c r="AE11" s="135" t="str">
        <f t="shared" ca="1" si="9"/>
        <v>Moderado</v>
      </c>
      <c r="AF11" s="131" t="s">
        <v>134</v>
      </c>
      <c r="AG11" s="138" t="s">
        <v>299</v>
      </c>
      <c r="AH11" s="138"/>
      <c r="AI11" s="138" t="s">
        <v>300</v>
      </c>
      <c r="AJ11" s="141">
        <v>45322</v>
      </c>
      <c r="AK11" s="141">
        <v>45657</v>
      </c>
      <c r="AL11" s="138"/>
      <c r="AM11" s="139"/>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1" ht="151.5" customHeight="1" x14ac:dyDescent="0.3">
      <c r="A12" s="237"/>
      <c r="B12" s="120" t="s">
        <v>216</v>
      </c>
      <c r="C12" s="120">
        <v>69</v>
      </c>
      <c r="D12" s="154" t="s">
        <v>132</v>
      </c>
      <c r="E12" s="154" t="s">
        <v>268</v>
      </c>
      <c r="F12" s="154" t="s">
        <v>269</v>
      </c>
      <c r="G12" s="154" t="s">
        <v>270</v>
      </c>
      <c r="H12" s="121" t="s">
        <v>128</v>
      </c>
      <c r="I12" s="123">
        <v>240</v>
      </c>
      <c r="J12" s="124" t="str">
        <f t="shared" si="10"/>
        <v>Media</v>
      </c>
      <c r="K12" s="125">
        <f t="shared" si="0"/>
        <v>0.6</v>
      </c>
      <c r="L12" s="126" t="s">
        <v>147</v>
      </c>
      <c r="M12" s="235" t="str">
        <f>IF(NOT(ISERROR(MATCH(L12,'Tabla Impacto'!$B$221:$B$223,0))),'Tabla Impacto'!$F$223&amp;"Por favor no seleccionar los criterios de impacto(Afectación Económica o presupuestal y Pérdida Reputacional)",L12)</f>
        <v xml:space="preserve">     Entre 50 y 100 SMLMV </v>
      </c>
      <c r="N12" s="124" t="str">
        <f>IF(OR(M12='Tabla Impacto'!$C$11,M12='Tabla Impacto'!$D$11),"Leve",IF(OR(M12='Tabla Impacto'!$C$12,M12='Tabla Impacto'!$D$12),"Menor",IF(OR(M12='Tabla Impacto'!$C$13,M12='Tabla Impacto'!$D$13),"Moderado",IF(OR(M12='Tabla Impacto'!$C$14,M12='Tabla Impacto'!$D$14),"Mayor",IF(OR(M12='Tabla Impacto'!$C$15,M12='Tabla Impacto'!$D$15),"Catastrófico","")))))</f>
        <v>Moderado</v>
      </c>
      <c r="O12" s="125">
        <f t="shared" si="1"/>
        <v>0.6</v>
      </c>
      <c r="P12" s="127" t="str">
        <f t="shared" si="2"/>
        <v>Moderado</v>
      </c>
      <c r="Q12" s="128">
        <v>2</v>
      </c>
      <c r="R12" s="164" t="s">
        <v>288</v>
      </c>
      <c r="S12" s="130" t="str">
        <f t="shared" si="3"/>
        <v>Probabilidad</v>
      </c>
      <c r="T12" s="131" t="s">
        <v>14</v>
      </c>
      <c r="U12" s="131" t="s">
        <v>9</v>
      </c>
      <c r="V12" s="132" t="str">
        <f t="shared" si="4"/>
        <v>40%</v>
      </c>
      <c r="W12" s="131" t="s">
        <v>19</v>
      </c>
      <c r="X12" s="131" t="s">
        <v>22</v>
      </c>
      <c r="Y12" s="131" t="s">
        <v>118</v>
      </c>
      <c r="Z12" s="133">
        <f>IFERROR(IF(S12="Probabilidad",(K12-(+K12*V12)),IF(S12="Impacto",K12,"")),"")</f>
        <v>0.36</v>
      </c>
      <c r="AA12" s="134" t="str">
        <f t="shared" si="5"/>
        <v>Baja</v>
      </c>
      <c r="AB12" s="132">
        <f t="shared" si="6"/>
        <v>0.36</v>
      </c>
      <c r="AC12" s="134" t="str">
        <f t="shared" si="7"/>
        <v>Moderado</v>
      </c>
      <c r="AD12" s="132">
        <f t="shared" si="8"/>
        <v>0.6</v>
      </c>
      <c r="AE12" s="135" t="str">
        <f t="shared" si="9"/>
        <v>Moderado</v>
      </c>
      <c r="AF12" s="131" t="s">
        <v>134</v>
      </c>
      <c r="AG12" s="164" t="s">
        <v>301</v>
      </c>
      <c r="AH12" s="164"/>
      <c r="AI12" s="139" t="s">
        <v>297</v>
      </c>
      <c r="AJ12" s="141">
        <v>45322</v>
      </c>
      <c r="AK12" s="141">
        <v>45657</v>
      </c>
      <c r="AL12" s="138"/>
      <c r="AM12" s="139"/>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1" ht="151.5" customHeight="1" x14ac:dyDescent="0.3">
      <c r="A13" s="237"/>
      <c r="B13" s="120" t="s">
        <v>217</v>
      </c>
      <c r="C13" s="120">
        <v>13</v>
      </c>
      <c r="D13" s="154" t="s">
        <v>132</v>
      </c>
      <c r="E13" s="154" t="s">
        <v>271</v>
      </c>
      <c r="F13" s="154" t="s">
        <v>272</v>
      </c>
      <c r="G13" s="154" t="s">
        <v>273</v>
      </c>
      <c r="H13" s="121" t="s">
        <v>122</v>
      </c>
      <c r="I13" s="123">
        <v>365</v>
      </c>
      <c r="J13" s="124" t="str">
        <f t="shared" si="10"/>
        <v>Media</v>
      </c>
      <c r="K13" s="125">
        <f t="shared" si="0"/>
        <v>0.6</v>
      </c>
      <c r="L13" s="126" t="s">
        <v>147</v>
      </c>
      <c r="M13" s="235" t="str">
        <f ca="1">IF(NOT(ISERROR(MATCH(L13,_xlfn.ANCHORARRAY(G19),0))),K21&amp;"Por favor no seleccionar los criterios de impacto",L13)</f>
        <v xml:space="preserve">     Entre 50 y 100 SMLMV </v>
      </c>
      <c r="N13" s="124" t="str">
        <f ca="1">IF(OR(M13='Tabla Impacto'!$C$11,M13='Tabla Impacto'!$D$11),"Leve",IF(OR(M13='Tabla Impacto'!$C$12,M13='Tabla Impacto'!$D$12),"Menor",IF(OR(M13='Tabla Impacto'!$C$13,M13='Tabla Impacto'!$D$13),"Moderado",IF(OR(M13='Tabla Impacto'!$C$14,M13='Tabla Impacto'!$D$14),"Mayor",IF(OR(M13='Tabla Impacto'!$C$15,M13='Tabla Impacto'!$D$15),"Catastrófico","")))))</f>
        <v>Moderado</v>
      </c>
      <c r="O13" s="125">
        <f t="shared" ca="1" si="1"/>
        <v>0.6</v>
      </c>
      <c r="P13" s="127" t="str">
        <f t="shared" ca="1" si="2"/>
        <v>Moderado</v>
      </c>
      <c r="Q13" s="128">
        <v>1</v>
      </c>
      <c r="R13" s="164" t="s">
        <v>289</v>
      </c>
      <c r="S13" s="130" t="str">
        <f t="shared" si="3"/>
        <v>Probabilidad</v>
      </c>
      <c r="T13" s="131" t="s">
        <v>14</v>
      </c>
      <c r="U13" s="131" t="s">
        <v>9</v>
      </c>
      <c r="V13" s="132" t="str">
        <f t="shared" si="4"/>
        <v>40%</v>
      </c>
      <c r="W13" s="131" t="s">
        <v>19</v>
      </c>
      <c r="X13" s="131" t="s">
        <v>22</v>
      </c>
      <c r="Y13" s="131" t="s">
        <v>118</v>
      </c>
      <c r="Z13" s="133">
        <f>IFERROR(IF(AND(S12="Probabilidad",S13="Probabilidad"),(AB12-(+AB12*V13)),IF(S13="Probabilidad",(K12-(+K12*V13)),IF(S13="Impacto",AB12,""))),"")</f>
        <v>0.216</v>
      </c>
      <c r="AA13" s="134" t="str">
        <f t="shared" si="5"/>
        <v>Baja</v>
      </c>
      <c r="AB13" s="132">
        <f t="shared" si="6"/>
        <v>0.216</v>
      </c>
      <c r="AC13" s="134" t="str">
        <f t="shared" ca="1" si="7"/>
        <v>Moderado</v>
      </c>
      <c r="AD13" s="132">
        <f t="shared" ca="1" si="8"/>
        <v>0.6</v>
      </c>
      <c r="AE13" s="135" t="str">
        <f t="shared" ca="1" si="9"/>
        <v>Moderado</v>
      </c>
      <c r="AF13" s="131" t="s">
        <v>134</v>
      </c>
      <c r="AG13" s="138"/>
      <c r="AH13" s="138"/>
      <c r="AI13" s="139"/>
      <c r="AJ13" s="141">
        <v>45292</v>
      </c>
      <c r="AK13" s="141">
        <v>45657</v>
      </c>
      <c r="AL13" s="138"/>
      <c r="AM13" s="139"/>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1" ht="174" customHeight="1" x14ac:dyDescent="0.3">
      <c r="A14" s="237"/>
      <c r="B14" s="120" t="s">
        <v>217</v>
      </c>
      <c r="C14" s="120">
        <v>14</v>
      </c>
      <c r="D14" s="154" t="s">
        <v>132</v>
      </c>
      <c r="E14" s="154" t="s">
        <v>274</v>
      </c>
      <c r="F14" s="154" t="s">
        <v>275</v>
      </c>
      <c r="G14" s="154" t="s">
        <v>276</v>
      </c>
      <c r="H14" s="121" t="s">
        <v>122</v>
      </c>
      <c r="I14" s="123">
        <v>52</v>
      </c>
      <c r="J14" s="124" t="str">
        <f t="shared" si="10"/>
        <v>Media</v>
      </c>
      <c r="K14" s="125">
        <f t="shared" si="0"/>
        <v>0.6</v>
      </c>
      <c r="L14" s="126" t="s">
        <v>147</v>
      </c>
      <c r="M14" s="235" t="str">
        <f ca="1">IF(NOT(ISERROR(MATCH(L14,_xlfn.ANCHORARRAY(#REF!),0))),K22&amp;"Por favor no seleccionar los criterios de impacto",L14)</f>
        <v xml:space="preserve">     Entre 50 y 100 SMLMV </v>
      </c>
      <c r="N14" s="124" t="str">
        <f ca="1">IF(OR(M14='Tabla Impacto'!$C$11,M14='Tabla Impacto'!$D$11),"Leve",IF(OR(M14='Tabla Impacto'!$C$12,M14='Tabla Impacto'!$D$12),"Menor",IF(OR(M14='Tabla Impacto'!$C$13,M14='Tabla Impacto'!$D$13),"Moderado",IF(OR(M14='Tabla Impacto'!$C$14,M14='Tabla Impacto'!$D$14),"Mayor",IF(OR(M14='Tabla Impacto'!$C$15,M14='Tabla Impacto'!$D$15),"Catastrófico","")))))</f>
        <v>Moderado</v>
      </c>
      <c r="O14" s="125">
        <f t="shared" ca="1" si="1"/>
        <v>0.6</v>
      </c>
      <c r="P14" s="127" t="str">
        <f t="shared" ca="1" si="2"/>
        <v>Moderado</v>
      </c>
      <c r="Q14" s="128">
        <v>2</v>
      </c>
      <c r="R14" s="154" t="s">
        <v>290</v>
      </c>
      <c r="S14" s="130" t="str">
        <f t="shared" si="3"/>
        <v>Probabilidad</v>
      </c>
      <c r="T14" s="131" t="s">
        <v>14</v>
      </c>
      <c r="U14" s="131" t="s">
        <v>9</v>
      </c>
      <c r="V14" s="132" t="str">
        <f t="shared" si="4"/>
        <v>40%</v>
      </c>
      <c r="W14" s="131" t="s">
        <v>19</v>
      </c>
      <c r="X14" s="131" t="s">
        <v>22</v>
      </c>
      <c r="Y14" s="131" t="s">
        <v>118</v>
      </c>
      <c r="Z14" s="133">
        <f>IFERROR(IF(AND(S13="Probabilidad",S14="Probabilidad"),(AB13-(+AB13*V14)),IF(AND(S13="Impacto",S14="Probabilidad"),(AB12-(+AB12*V14)),IF(S14="Impacto",AB13,""))),"")</f>
        <v>0.12959999999999999</v>
      </c>
      <c r="AA14" s="134" t="str">
        <f t="shared" si="5"/>
        <v>Muy Baja</v>
      </c>
      <c r="AB14" s="132">
        <f t="shared" si="6"/>
        <v>0.12959999999999999</v>
      </c>
      <c r="AC14" s="134" t="str">
        <f t="shared" ca="1" si="7"/>
        <v>Moderado</v>
      </c>
      <c r="AD14" s="132">
        <f t="shared" ca="1" si="8"/>
        <v>0.6</v>
      </c>
      <c r="AE14" s="135" t="str">
        <f t="shared" ca="1" si="9"/>
        <v>Moderado</v>
      </c>
      <c r="AF14" s="131" t="s">
        <v>134</v>
      </c>
      <c r="AG14" s="138"/>
      <c r="AH14" s="138"/>
      <c r="AI14" s="139"/>
      <c r="AJ14" s="141">
        <v>45293</v>
      </c>
      <c r="AK14" s="141">
        <v>45657</v>
      </c>
      <c r="AL14" s="138"/>
      <c r="AM14" s="139"/>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1" ht="161.25" customHeight="1" x14ac:dyDescent="0.3">
      <c r="A15" s="237"/>
      <c r="B15" s="120" t="s">
        <v>217</v>
      </c>
      <c r="C15" s="120">
        <v>70</v>
      </c>
      <c r="D15" s="154" t="s">
        <v>132</v>
      </c>
      <c r="E15" s="154" t="s">
        <v>277</v>
      </c>
      <c r="F15" s="154" t="s">
        <v>275</v>
      </c>
      <c r="G15" s="154" t="s">
        <v>278</v>
      </c>
      <c r="H15" s="121" t="s">
        <v>122</v>
      </c>
      <c r="I15" s="123">
        <v>246</v>
      </c>
      <c r="J15" s="124" t="str">
        <f t="shared" si="10"/>
        <v>Media</v>
      </c>
      <c r="K15" s="125">
        <f t="shared" si="0"/>
        <v>0.6</v>
      </c>
      <c r="L15" s="126" t="s">
        <v>147</v>
      </c>
      <c r="M15" s="235" t="str">
        <f ca="1">IF(NOT(ISERROR(MATCH(L15,_xlfn.ANCHORARRAY(G21),0))),#REF!&amp;"Por favor no seleccionar los criterios de impacto",L15)</f>
        <v xml:space="preserve">     Entre 50 y 100 SMLMV </v>
      </c>
      <c r="N15" s="124" t="str">
        <f ca="1">IF(OR(M15='Tabla Impacto'!$C$11,M15='Tabla Impacto'!$D$11),"Leve",IF(OR(M15='Tabla Impacto'!$C$12,M15='Tabla Impacto'!$D$12),"Menor",IF(OR(M15='Tabla Impacto'!$C$13,M15='Tabla Impacto'!$D$13),"Moderado",IF(OR(M15='Tabla Impacto'!$C$14,M15='Tabla Impacto'!$D$14),"Mayor",IF(OR(M15='Tabla Impacto'!$C$15,M15='Tabla Impacto'!$D$15),"Catastrófico","")))))</f>
        <v>Moderado</v>
      </c>
      <c r="O15" s="125">
        <f t="shared" ca="1" si="1"/>
        <v>0.6</v>
      </c>
      <c r="P15" s="127" t="str">
        <f t="shared" ca="1" si="2"/>
        <v>Moderado</v>
      </c>
      <c r="Q15" s="128">
        <v>2</v>
      </c>
      <c r="R15" s="154" t="s">
        <v>291</v>
      </c>
      <c r="S15" s="130" t="str">
        <f t="shared" si="3"/>
        <v>Probabilidad</v>
      </c>
      <c r="T15" s="131" t="s">
        <v>14</v>
      </c>
      <c r="U15" s="131" t="s">
        <v>9</v>
      </c>
      <c r="V15" s="132" t="str">
        <f t="shared" si="4"/>
        <v>40%</v>
      </c>
      <c r="W15" s="131" t="s">
        <v>19</v>
      </c>
      <c r="X15" s="131" t="s">
        <v>22</v>
      </c>
      <c r="Y15" s="131" t="s">
        <v>118</v>
      </c>
      <c r="Z15" s="133">
        <f t="shared" ref="Z15:Z17" si="12">IFERROR(IF(AND(S14="Probabilidad",S15="Probabilidad"),(AB14-(+AB14*V15)),IF(AND(S14="Impacto",S15="Probabilidad"),(AB13-(+AB13*V15)),IF(S15="Impacto",AB14,""))),"")</f>
        <v>7.7759999999999996E-2</v>
      </c>
      <c r="AA15" s="134" t="str">
        <f t="shared" si="5"/>
        <v>Muy Baja</v>
      </c>
      <c r="AB15" s="132">
        <f t="shared" si="6"/>
        <v>7.7759999999999996E-2</v>
      </c>
      <c r="AC15" s="134" t="str">
        <f t="shared" ca="1" si="7"/>
        <v>Moderado</v>
      </c>
      <c r="AD15" s="132">
        <f t="shared" ca="1" si="8"/>
        <v>0.6</v>
      </c>
      <c r="AE15" s="135" t="str">
        <f t="shared" ca="1" si="9"/>
        <v>Moderado</v>
      </c>
      <c r="AF15" s="131" t="s">
        <v>134</v>
      </c>
      <c r="AG15" s="138"/>
      <c r="AH15" s="138"/>
      <c r="AI15" s="139"/>
      <c r="AJ15" s="141">
        <v>45292</v>
      </c>
      <c r="AK15" s="141">
        <v>45657</v>
      </c>
      <c r="AL15" s="138"/>
      <c r="AM15" s="139"/>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row>
    <row r="16" spans="1:71" ht="96" customHeight="1" x14ac:dyDescent="0.3">
      <c r="A16" s="238"/>
      <c r="B16" s="120" t="s">
        <v>218</v>
      </c>
      <c r="C16" s="120">
        <v>15</v>
      </c>
      <c r="D16" s="154" t="s">
        <v>130</v>
      </c>
      <c r="E16" s="156" t="s">
        <v>279</v>
      </c>
      <c r="F16" s="156" t="s">
        <v>280</v>
      </c>
      <c r="G16" s="157" t="s">
        <v>281</v>
      </c>
      <c r="H16" s="121" t="s">
        <v>122</v>
      </c>
      <c r="I16" s="123">
        <v>60</v>
      </c>
      <c r="J16" s="124" t="str">
        <f t="shared" si="10"/>
        <v>Media</v>
      </c>
      <c r="K16" s="125">
        <f t="shared" si="0"/>
        <v>0.6</v>
      </c>
      <c r="L16" s="126" t="s">
        <v>153</v>
      </c>
      <c r="M16" s="235" t="str">
        <f ca="1">IF(NOT(ISERROR(MATCH(L16,_xlfn.ANCHORARRAY(G22),0))),K23&amp;"Por favor no seleccionar los criterios de impacto",L16)</f>
        <v xml:space="preserve">     El riesgo afecta la imagen de la entidad con algunos usuarios de relevancia frente al logro de los objetivos</v>
      </c>
      <c r="N16" s="124" t="str">
        <f ca="1">IF(OR(M16='Tabla Impacto'!$C$11,M16='Tabla Impacto'!$D$11),"Leve",IF(OR(M16='Tabla Impacto'!$C$12,M16='Tabla Impacto'!$D$12),"Menor",IF(OR(M16='Tabla Impacto'!$C$13,M16='Tabla Impacto'!$D$13),"Moderado",IF(OR(M16='Tabla Impacto'!$C$14,M16='Tabla Impacto'!$D$14),"Mayor",IF(OR(M16='Tabla Impacto'!$C$15,M16='Tabla Impacto'!$D$15),"Catastrófico","")))))</f>
        <v>Moderado</v>
      </c>
      <c r="O16" s="125">
        <f t="shared" ca="1" si="1"/>
        <v>0.6</v>
      </c>
      <c r="P16" s="127" t="str">
        <f t="shared" ca="1" si="2"/>
        <v>Moderado</v>
      </c>
      <c r="Q16" s="128">
        <v>1</v>
      </c>
      <c r="R16" s="154" t="s">
        <v>329</v>
      </c>
      <c r="S16" s="130" t="str">
        <f t="shared" si="3"/>
        <v>Probabilidad</v>
      </c>
      <c r="T16" s="131" t="s">
        <v>15</v>
      </c>
      <c r="U16" s="131" t="s">
        <v>9</v>
      </c>
      <c r="V16" s="132" t="str">
        <f t="shared" si="4"/>
        <v>30%</v>
      </c>
      <c r="W16" s="131" t="s">
        <v>19</v>
      </c>
      <c r="X16" s="131" t="s">
        <v>22</v>
      </c>
      <c r="Y16" s="131" t="s">
        <v>118</v>
      </c>
      <c r="Z16" s="133">
        <f t="shared" si="12"/>
        <v>5.4431999999999994E-2</v>
      </c>
      <c r="AA16" s="134" t="str">
        <f t="shared" si="5"/>
        <v>Muy Baja</v>
      </c>
      <c r="AB16" s="132">
        <f t="shared" si="6"/>
        <v>5.4431999999999994E-2</v>
      </c>
      <c r="AC16" s="134" t="str">
        <f t="shared" ca="1" si="7"/>
        <v>Moderado</v>
      </c>
      <c r="AD16" s="132">
        <f t="shared" ca="1" si="8"/>
        <v>0.6</v>
      </c>
      <c r="AE16" s="135" t="str">
        <f t="shared" ca="1" si="9"/>
        <v>Moderado</v>
      </c>
      <c r="AF16" s="131" t="s">
        <v>134</v>
      </c>
      <c r="AG16" s="138"/>
      <c r="AH16" s="138"/>
      <c r="AI16" s="139"/>
      <c r="AJ16" s="141">
        <v>45292</v>
      </c>
      <c r="AK16" s="141">
        <v>45657</v>
      </c>
      <c r="AL16" s="138"/>
      <c r="AM16" s="139"/>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row>
    <row r="17" spans="1:71" ht="151.5" customHeight="1" x14ac:dyDescent="0.3">
      <c r="A17" s="137" t="s">
        <v>220</v>
      </c>
      <c r="B17" s="120" t="s">
        <v>219</v>
      </c>
      <c r="C17" s="120">
        <v>17</v>
      </c>
      <c r="D17" s="154" t="s">
        <v>130</v>
      </c>
      <c r="E17" s="121" t="s">
        <v>331</v>
      </c>
      <c r="F17" s="121" t="s">
        <v>330</v>
      </c>
      <c r="G17" s="122" t="s">
        <v>332</v>
      </c>
      <c r="H17" s="121" t="s">
        <v>122</v>
      </c>
      <c r="I17" s="123">
        <v>76</v>
      </c>
      <c r="J17" s="124" t="str">
        <f t="shared" si="10"/>
        <v>Media</v>
      </c>
      <c r="K17" s="125">
        <f t="shared" si="0"/>
        <v>0.6</v>
      </c>
      <c r="L17" s="126" t="s">
        <v>153</v>
      </c>
      <c r="M17" s="235" t="str">
        <f ca="1">IF(NOT(ISERROR(MATCH(L17,_xlfn.ANCHORARRAY(G26),0))),K28&amp;"Por favor no seleccionar los criterios de impacto",L17)</f>
        <v xml:space="preserve">     El riesgo afecta la imagen de la entidad con algunos usuarios de relevancia frente al logro de los objetivos</v>
      </c>
      <c r="N17" s="124" t="str">
        <f ca="1">IF(OR(M17='Tabla Impacto'!$C$11,M17='Tabla Impacto'!$D$11),"Leve",IF(OR(M17='Tabla Impacto'!$C$12,M17='Tabla Impacto'!$D$12),"Menor",IF(OR(M17='Tabla Impacto'!$C$13,M17='Tabla Impacto'!$D$13),"Moderado",IF(OR(M17='Tabla Impacto'!$C$14,M17='Tabla Impacto'!$D$14),"Mayor",IF(OR(M17='Tabla Impacto'!$C$15,M17='Tabla Impacto'!$D$15),"Catastrófico","")))))</f>
        <v>Moderado</v>
      </c>
      <c r="O17" s="125">
        <f t="shared" ca="1" si="1"/>
        <v>0.6</v>
      </c>
      <c r="P17" s="127" t="str">
        <f t="shared" ca="1" si="2"/>
        <v>Moderado</v>
      </c>
      <c r="Q17" s="128">
        <v>1</v>
      </c>
      <c r="R17" s="164" t="s">
        <v>333</v>
      </c>
      <c r="S17" s="130" t="str">
        <f t="shared" si="3"/>
        <v>Probabilidad</v>
      </c>
      <c r="T17" s="131" t="s">
        <v>14</v>
      </c>
      <c r="U17" s="131" t="s">
        <v>9</v>
      </c>
      <c r="V17" s="132" t="str">
        <f t="shared" si="4"/>
        <v>40%</v>
      </c>
      <c r="W17" s="131" t="s">
        <v>19</v>
      </c>
      <c r="X17" s="131" t="s">
        <v>22</v>
      </c>
      <c r="Y17" s="131" t="s">
        <v>118</v>
      </c>
      <c r="Z17" s="133">
        <f t="shared" si="12"/>
        <v>3.2659199999999999E-2</v>
      </c>
      <c r="AA17" s="134" t="str">
        <f>IFERROR(IF(Z17="","",IF(Z17&lt;=0.2,"Muy Baja",IF(Z17&lt;=0.4,"Baja",IF(Z17&lt;=0.6,"Media",IF(Z17&lt;=0.8,"Alta","Muy Alta"))))),"")</f>
        <v>Muy Baja</v>
      </c>
      <c r="AB17" s="132">
        <f>+Z17</f>
        <v>3.2659199999999999E-2</v>
      </c>
      <c r="AC17" s="134" t="str">
        <f t="shared" ca="1" si="7"/>
        <v>Moderado</v>
      </c>
      <c r="AD17" s="132">
        <f t="shared" ca="1" si="8"/>
        <v>0.6</v>
      </c>
      <c r="AE17" s="135" t="str">
        <f ca="1">IFERROR(IF(OR(AND(AA17="Muy Baja",AC17="Leve"),AND(AA17="Muy Baja",AC17="Menor"),AND(AA17="Baja",AC17="Leve")),"Bajo",IF(OR(AND(AA17="Muy baja",AC17="Moderado"),AND(AA17="Baja",AC17="Menor"),AND(AA17="Baja",AC17="Moderado"),AND(AA17="Media",AC17="Leve"),AND(AA17="Media",AC17="Menor"),AND(AA17="Media",AC17="Moderado"),AND(AA17="Alta",AC17="Leve"),AND(AA17="Alta",AC17="Menor")),"Moderado",IF(OR(AND(AA17="Muy Baja",AC17="Mayor"),AND(AA17="Baja",AC17="Mayor"),AND(AA17="Media",AC17="Mayor"),AND(AA17="Alta",AC17="Moderado"),AND(AA17="Alta",AC17="Mayor"),AND(AA17="Muy Alta",AC17="Leve"),AND(AA17="Muy Alta",AC17="Menor"),AND(AA17="Muy Alta",AC17="Moderado"),AND(AA17="Muy Alta",AC17="Mayor")),"Alto",IF(OR(AND(AA17="Muy Baja",AC17="Catastrófico"),AND(AA17="Baja",AC17="Catastrófico"),AND(AA17="Media",AC17="Catastrófico"),AND(AA17="Alta",AC17="Catastrófico"),AND(AA17="Muy Alta",AC17="Catastrófico")),"Extremo","")))),"")</f>
        <v>Moderado</v>
      </c>
      <c r="AF17" s="131" t="s">
        <v>134</v>
      </c>
      <c r="AG17" s="138"/>
      <c r="AH17" s="138"/>
      <c r="AI17" s="139"/>
      <c r="AJ17" s="141">
        <v>45292</v>
      </c>
      <c r="AK17" s="141">
        <v>45657</v>
      </c>
      <c r="AL17" s="138"/>
      <c r="AM17" s="139"/>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row>
    <row r="18" spans="1:71" ht="151.5" customHeight="1" x14ac:dyDescent="0.3">
      <c r="A18" s="239" t="s">
        <v>221</v>
      </c>
      <c r="B18" s="120" t="s">
        <v>221</v>
      </c>
      <c r="C18" s="120">
        <v>18</v>
      </c>
      <c r="D18" s="121" t="s">
        <v>130</v>
      </c>
      <c r="E18" s="121" t="s">
        <v>334</v>
      </c>
      <c r="F18" s="121" t="s">
        <v>335</v>
      </c>
      <c r="G18" s="122" t="s">
        <v>336</v>
      </c>
      <c r="H18" s="121" t="s">
        <v>127</v>
      </c>
      <c r="I18" s="123">
        <v>1080</v>
      </c>
      <c r="J18" s="124" t="str">
        <f t="shared" si="10"/>
        <v>Alta</v>
      </c>
      <c r="K18" s="125">
        <f t="shared" si="0"/>
        <v>0.8</v>
      </c>
      <c r="L18" s="126" t="s">
        <v>154</v>
      </c>
      <c r="M18" s="235" t="str">
        <f ca="1">IF(NOT(ISERROR(MATCH(L18,_xlfn.ANCHORARRAY(G27),0))),K29&amp;"Por favor no seleccionar los criterios de impacto",L18)</f>
        <v xml:space="preserve">     El riesgo afecta la imagen de de la entidad con efecto publicitario sostenido a nivel de sector administrativo, nivel departamental o municipal</v>
      </c>
      <c r="N18" s="124" t="str">
        <f ca="1">IF(OR(M18='Tabla Impacto'!$C$11,M18='Tabla Impacto'!$D$11),"Leve",IF(OR(M18='Tabla Impacto'!$C$12,M18='Tabla Impacto'!$D$12),"Menor",IF(OR(M18='Tabla Impacto'!$C$13,M18='Tabla Impacto'!$D$13),"Moderado",IF(OR(M18='Tabla Impacto'!$C$14,M18='Tabla Impacto'!$D$14),"Mayor",IF(OR(M18='Tabla Impacto'!$C$15,M18='Tabla Impacto'!$D$15),"Catastrófico","")))))</f>
        <v>Mayor</v>
      </c>
      <c r="O18" s="125">
        <f t="shared" ca="1" si="1"/>
        <v>0.8</v>
      </c>
      <c r="P18" s="127" t="str">
        <f t="shared" ca="1" si="2"/>
        <v>Alto</v>
      </c>
      <c r="Q18" s="120">
        <v>1</v>
      </c>
      <c r="R18" s="154" t="s">
        <v>340</v>
      </c>
      <c r="S18" s="130" t="str">
        <f t="shared" si="3"/>
        <v>Probabilidad</v>
      </c>
      <c r="T18" s="131" t="s">
        <v>14</v>
      </c>
      <c r="U18" s="131" t="s">
        <v>9</v>
      </c>
      <c r="V18" s="132" t="str">
        <f t="shared" si="4"/>
        <v>40%</v>
      </c>
      <c r="W18" s="131" t="s">
        <v>19</v>
      </c>
      <c r="X18" s="131" t="s">
        <v>22</v>
      </c>
      <c r="Y18" s="131" t="s">
        <v>118</v>
      </c>
      <c r="Z18" s="133">
        <f>IFERROR(IF(AND(S17="Probabilidad",S18="Probabilidad"),(AB17-(+AB17*V18)),IF(AND(S17="Impacto",S18="Probabilidad"),(#REF!-(+#REF!*V18)),IF(S18="Impacto",AB17,""))),"")</f>
        <v>1.9595519999999998E-2</v>
      </c>
      <c r="AA18" s="134" t="str">
        <f t="shared" si="5"/>
        <v>Muy Baja</v>
      </c>
      <c r="AB18" s="132">
        <f t="shared" si="6"/>
        <v>1.9595519999999998E-2</v>
      </c>
      <c r="AC18" s="134" t="str">
        <f t="shared" ca="1" si="7"/>
        <v>Mayor</v>
      </c>
      <c r="AD18" s="132">
        <f t="shared" ca="1" si="8"/>
        <v>0.8</v>
      </c>
      <c r="AE18" s="135" t="str">
        <f t="shared" ca="1" si="9"/>
        <v>Alto</v>
      </c>
      <c r="AF18" s="131" t="s">
        <v>134</v>
      </c>
      <c r="AG18" s="154" t="s">
        <v>343</v>
      </c>
      <c r="AH18" s="154"/>
      <c r="AI18" s="154" t="s">
        <v>342</v>
      </c>
      <c r="AJ18" s="141" t="s">
        <v>477</v>
      </c>
      <c r="AK18" s="141">
        <v>45657</v>
      </c>
      <c r="AL18" s="138"/>
      <c r="AM18" s="139"/>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row>
    <row r="19" spans="1:71" ht="151.5" customHeight="1" x14ac:dyDescent="0.3">
      <c r="A19" s="240"/>
      <c r="B19" s="120" t="s">
        <v>221</v>
      </c>
      <c r="C19" s="120">
        <v>19</v>
      </c>
      <c r="D19" s="121" t="s">
        <v>132</v>
      </c>
      <c r="E19" s="121" t="s">
        <v>337</v>
      </c>
      <c r="F19" s="121" t="s">
        <v>338</v>
      </c>
      <c r="G19" s="122" t="s">
        <v>339</v>
      </c>
      <c r="H19" s="121" t="s">
        <v>127</v>
      </c>
      <c r="I19" s="123">
        <v>900</v>
      </c>
      <c r="J19" s="124" t="str">
        <f>IF(I19&lt;=0,"",IF(I19&lt;=2,"Muy Baja",IF(I19&lt;=24,"Baja",IF(I19&lt;=500,"Media",IF(I19&lt;=5000,"Alta","Muy Alta")))))</f>
        <v>Alta</v>
      </c>
      <c r="K19" s="125">
        <f t="shared" si="0"/>
        <v>0.8</v>
      </c>
      <c r="L19" s="126" t="s">
        <v>149</v>
      </c>
      <c r="M19" s="235" t="str">
        <f>IF(NOT(ISERROR(MATCH(L19,'Tabla Impacto'!$B$221:$B$223,0))),'Tabla Impacto'!$F$223&amp;"Por favor no seleccionar los criterios de impacto(Afectación Económica o presupuestal y Pérdida Reputacional)",L19)</f>
        <v xml:space="preserve">     Entre 100 y 500 SMLMV </v>
      </c>
      <c r="N19" s="124" t="str">
        <f>IF(OR(M19='Tabla Impacto'!$C$11,M19='Tabla Impacto'!$D$11),"Leve",IF(OR(M19='Tabla Impacto'!$C$12,M19='Tabla Impacto'!$D$12),"Menor",IF(OR(M19='Tabla Impacto'!$C$13,M19='Tabla Impacto'!$D$13),"Moderado",IF(OR(M19='Tabla Impacto'!$C$14,M19='Tabla Impacto'!$D$14),"Mayor",IF(OR(M19='Tabla Impacto'!$C$15,M19='Tabla Impacto'!$D$15),"Catastrófico","")))))</f>
        <v>Mayor</v>
      </c>
      <c r="O19" s="125">
        <f t="shared" si="1"/>
        <v>0.8</v>
      </c>
      <c r="P19" s="127" t="str">
        <f t="shared" si="2"/>
        <v>Alto</v>
      </c>
      <c r="Q19" s="120">
        <v>2</v>
      </c>
      <c r="R19" s="154" t="s">
        <v>341</v>
      </c>
      <c r="S19" s="130" t="str">
        <f t="shared" si="3"/>
        <v>Probabilidad</v>
      </c>
      <c r="T19" s="131" t="s">
        <v>14</v>
      </c>
      <c r="U19" s="131" t="s">
        <v>9</v>
      </c>
      <c r="V19" s="132" t="str">
        <f t="shared" si="4"/>
        <v>40%</v>
      </c>
      <c r="W19" s="131" t="s">
        <v>19</v>
      </c>
      <c r="X19" s="131" t="s">
        <v>23</v>
      </c>
      <c r="Y19" s="131" t="s">
        <v>118</v>
      </c>
      <c r="Z19" s="133">
        <f>IFERROR(IF(S19="Probabilidad",(K19-(+K19*V19)),IF(S19="Impacto",K19,"")),"")</f>
        <v>0.48</v>
      </c>
      <c r="AA19" s="134" t="str">
        <f t="shared" si="5"/>
        <v>Media</v>
      </c>
      <c r="AB19" s="132">
        <f t="shared" si="6"/>
        <v>0.48</v>
      </c>
      <c r="AC19" s="134" t="str">
        <f t="shared" si="7"/>
        <v>Mayor</v>
      </c>
      <c r="AD19" s="132">
        <f t="shared" si="8"/>
        <v>0.8</v>
      </c>
      <c r="AE19" s="135" t="str">
        <f t="shared" si="9"/>
        <v>Alto</v>
      </c>
      <c r="AF19" s="131" t="s">
        <v>134</v>
      </c>
      <c r="AG19" s="154" t="s">
        <v>344</v>
      </c>
      <c r="AH19" s="154"/>
      <c r="AI19" s="154" t="s">
        <v>342</v>
      </c>
      <c r="AJ19" s="141" t="s">
        <v>477</v>
      </c>
      <c r="AK19" s="141">
        <v>45657</v>
      </c>
      <c r="AL19" s="138"/>
      <c r="AM19" s="139"/>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row>
    <row r="20" spans="1:71" ht="151.5" customHeight="1" x14ac:dyDescent="0.3">
      <c r="A20" s="239" t="s">
        <v>222</v>
      </c>
      <c r="B20" s="183" t="s">
        <v>222</v>
      </c>
      <c r="C20" s="183"/>
      <c r="D20" s="121" t="s">
        <v>132</v>
      </c>
      <c r="E20" s="121" t="s">
        <v>489</v>
      </c>
      <c r="F20" s="121" t="s">
        <v>481</v>
      </c>
      <c r="G20" s="122" t="s">
        <v>478</v>
      </c>
      <c r="H20" s="121" t="s">
        <v>127</v>
      </c>
      <c r="I20" s="123">
        <v>365</v>
      </c>
      <c r="J20" s="186" t="s">
        <v>479</v>
      </c>
      <c r="K20" s="125">
        <v>0.8</v>
      </c>
      <c r="L20" s="126" t="s">
        <v>155</v>
      </c>
      <c r="M20" s="235"/>
      <c r="N20" s="124" t="s">
        <v>474</v>
      </c>
      <c r="O20" s="125">
        <v>0.8</v>
      </c>
      <c r="P20" s="185" t="s">
        <v>6</v>
      </c>
      <c r="Q20" s="183">
        <v>1</v>
      </c>
      <c r="R20" s="189" t="s">
        <v>482</v>
      </c>
      <c r="S20" s="130" t="s">
        <v>4</v>
      </c>
      <c r="T20" s="131" t="s">
        <v>16</v>
      </c>
      <c r="U20" s="131" t="s">
        <v>9</v>
      </c>
      <c r="V20" s="132">
        <v>0.8</v>
      </c>
      <c r="W20" s="131" t="s">
        <v>19</v>
      </c>
      <c r="X20" s="131" t="s">
        <v>22</v>
      </c>
      <c r="Y20" s="131" t="s">
        <v>118</v>
      </c>
      <c r="Z20" s="133">
        <v>0.8</v>
      </c>
      <c r="AA20" s="134" t="s">
        <v>6</v>
      </c>
      <c r="AB20" s="132">
        <v>0.8</v>
      </c>
      <c r="AC20" s="134" t="s">
        <v>7</v>
      </c>
      <c r="AD20" s="132">
        <v>0.8</v>
      </c>
      <c r="AE20" s="187" t="s">
        <v>6</v>
      </c>
      <c r="AF20" s="131" t="s">
        <v>134</v>
      </c>
      <c r="AG20" s="154" t="s">
        <v>480</v>
      </c>
      <c r="AH20" s="154"/>
      <c r="AI20" s="154"/>
      <c r="AJ20" s="141" t="s">
        <v>477</v>
      </c>
      <c r="AK20" s="141">
        <v>45657</v>
      </c>
      <c r="AL20" s="138"/>
      <c r="AM20" s="139"/>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row>
    <row r="21" spans="1:71" ht="151.5" customHeight="1" x14ac:dyDescent="0.3">
      <c r="A21" s="241"/>
      <c r="B21" s="120" t="s">
        <v>222</v>
      </c>
      <c r="C21" s="120">
        <v>21</v>
      </c>
      <c r="D21" s="121" t="s">
        <v>132</v>
      </c>
      <c r="E21" s="121" t="s">
        <v>345</v>
      </c>
      <c r="F21" s="121" t="s">
        <v>346</v>
      </c>
      <c r="G21" s="122" t="s">
        <v>347</v>
      </c>
      <c r="H21" s="121" t="s">
        <v>127</v>
      </c>
      <c r="I21" s="123">
        <v>365</v>
      </c>
      <c r="J21" s="124" t="str">
        <f t="shared" ref="J21:J59" si="13">IF(I21&lt;=0,"",IF(I21&lt;=2,"Muy Baja",IF(I21&lt;=24,"Baja",IF(I21&lt;=500,"Media",IF(I21&lt;=5000,"Alta","Muy Alta")))))</f>
        <v>Media</v>
      </c>
      <c r="K21" s="125">
        <f t="shared" si="0"/>
        <v>0.6</v>
      </c>
      <c r="L21" s="126" t="s">
        <v>153</v>
      </c>
      <c r="M21" s="235" t="str">
        <f ca="1">IF(NOT(ISERROR(MATCH(L21,_xlfn.ANCHORARRAY(#REF!),0))),K30&amp;"Por favor no seleccionar los criterios de impacto",L21)</f>
        <v xml:space="preserve">     El riesgo afecta la imagen de la entidad con algunos usuarios de relevancia frente al logro de los objetivos</v>
      </c>
      <c r="N21" s="124" t="str">
        <f ca="1">IF(OR(M21='Tabla Impacto'!$C$11,M21='Tabla Impacto'!$D$11),"Leve",IF(OR(M21='Tabla Impacto'!$C$12,M21='Tabla Impacto'!$D$12),"Menor",IF(OR(M21='Tabla Impacto'!$C$13,M21='Tabla Impacto'!$D$13),"Moderado",IF(OR(M21='Tabla Impacto'!$C$14,M21='Tabla Impacto'!$D$14),"Mayor",IF(OR(M21='Tabla Impacto'!$C$15,M21='Tabla Impacto'!$D$15),"Catastrófico","")))))</f>
        <v>Moderado</v>
      </c>
      <c r="O21" s="125">
        <f t="shared" ca="1" si="1"/>
        <v>0.6</v>
      </c>
      <c r="P21" s="127" t="str">
        <f t="shared" ca="1" si="2"/>
        <v>Moderado</v>
      </c>
      <c r="Q21" s="128">
        <v>1</v>
      </c>
      <c r="R21" s="154" t="s">
        <v>348</v>
      </c>
      <c r="S21" s="130" t="str">
        <f t="shared" si="3"/>
        <v>Probabilidad</v>
      </c>
      <c r="T21" s="131" t="s">
        <v>15</v>
      </c>
      <c r="U21" s="131" t="s">
        <v>9</v>
      </c>
      <c r="V21" s="132" t="str">
        <f t="shared" si="4"/>
        <v>30%</v>
      </c>
      <c r="W21" s="131" t="s">
        <v>19</v>
      </c>
      <c r="X21" s="131" t="s">
        <v>23</v>
      </c>
      <c r="Y21" s="131" t="s">
        <v>118</v>
      </c>
      <c r="Z21" s="133">
        <f>IFERROR(IF(S21="Probabilidad",(K21-(+K21*V21)),IF(S21="Impacto",K21,"")),"")</f>
        <v>0.42</v>
      </c>
      <c r="AA21" s="134" t="str">
        <f>IFERROR(IF(Z21="","",IF(Z21&lt;=0.2,"Muy Baja",IF(Z21&lt;=0.4,"Baja",IF(Z21&lt;=0.6,"Media",IF(Z21&lt;=0.8,"Alta","Muy Alta"))))),"")</f>
        <v>Media</v>
      </c>
      <c r="AB21" s="132">
        <f t="shared" si="6"/>
        <v>0.42</v>
      </c>
      <c r="AC21" s="134" t="str">
        <f t="shared" ca="1" si="7"/>
        <v>Moderado</v>
      </c>
      <c r="AD21" s="132">
        <f t="shared" ca="1" si="8"/>
        <v>0.6</v>
      </c>
      <c r="AE21" s="135" t="str">
        <f t="shared" ca="1" si="9"/>
        <v>Moderado</v>
      </c>
      <c r="AF21" s="131" t="s">
        <v>134</v>
      </c>
      <c r="AG21" s="138"/>
      <c r="AH21" s="138"/>
      <c r="AI21" s="139"/>
      <c r="AJ21" s="141" t="s">
        <v>477</v>
      </c>
      <c r="AK21" s="141">
        <v>45657</v>
      </c>
      <c r="AL21" s="138"/>
      <c r="AM21" s="139"/>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row>
    <row r="22" spans="1:71" ht="151.5" customHeight="1" x14ac:dyDescent="0.3">
      <c r="A22" s="240"/>
      <c r="B22" s="120" t="s">
        <v>222</v>
      </c>
      <c r="C22" s="120">
        <v>22</v>
      </c>
      <c r="D22" s="121" t="s">
        <v>132</v>
      </c>
      <c r="E22" s="121" t="s">
        <v>455</v>
      </c>
      <c r="F22" s="121" t="s">
        <v>456</v>
      </c>
      <c r="G22" s="122" t="s">
        <v>457</v>
      </c>
      <c r="H22" s="121" t="s">
        <v>122</v>
      </c>
      <c r="I22" s="123">
        <v>70</v>
      </c>
      <c r="J22" s="124" t="str">
        <f t="shared" si="13"/>
        <v>Media</v>
      </c>
      <c r="K22" s="125">
        <f t="shared" si="0"/>
        <v>0.6</v>
      </c>
      <c r="L22" s="126" t="s">
        <v>153</v>
      </c>
      <c r="M22" s="235" t="str">
        <f ca="1">IF(NOT(ISERROR(MATCH(L22,_xlfn.ANCHORARRAY(#REF!),0))),K32&amp;"Por favor no seleccionar los criterios de impacto",L22)</f>
        <v xml:space="preserve">     El riesgo afecta la imagen de la entidad con algunos usuarios de relevancia frente al logro de los objetivos</v>
      </c>
      <c r="N22" s="124" t="str">
        <f ca="1">IF(OR(M22='Tabla Impacto'!$C$11,M22='Tabla Impacto'!$D$11),"Leve",IF(OR(M22='Tabla Impacto'!$C$12,M22='Tabla Impacto'!$D$12),"Menor",IF(OR(M22='Tabla Impacto'!$C$13,M22='Tabla Impacto'!$D$13),"Moderado",IF(OR(M22='Tabla Impacto'!$C$14,M22='Tabla Impacto'!$D$14),"Mayor",IF(OR(M22='Tabla Impacto'!$C$15,M22='Tabla Impacto'!$D$15),"Catastrófico","")))))</f>
        <v>Moderado</v>
      </c>
      <c r="O22" s="125">
        <f t="shared" ca="1" si="1"/>
        <v>0.6</v>
      </c>
      <c r="P22" s="127" t="str">
        <f t="shared" ca="1" si="2"/>
        <v>Moderado</v>
      </c>
      <c r="Q22" s="128">
        <v>1</v>
      </c>
      <c r="R22" s="154" t="s">
        <v>458</v>
      </c>
      <c r="S22" s="130" t="str">
        <f t="shared" si="3"/>
        <v>Probabilidad</v>
      </c>
      <c r="T22" s="131" t="s">
        <v>14</v>
      </c>
      <c r="U22" s="131" t="s">
        <v>9</v>
      </c>
      <c r="V22" s="132" t="str">
        <f t="shared" si="4"/>
        <v>40%</v>
      </c>
      <c r="W22" s="131" t="s">
        <v>19</v>
      </c>
      <c r="X22" s="131" t="s">
        <v>22</v>
      </c>
      <c r="Y22" s="131" t="s">
        <v>118</v>
      </c>
      <c r="Z22" s="133">
        <f>IFERROR(IF(S22="Probabilidad",(K22-(+K22*V22)),IF(S22="Impacto",K22,"")),"")</f>
        <v>0.36</v>
      </c>
      <c r="AA22" s="134" t="str">
        <f t="shared" si="5"/>
        <v>Baja</v>
      </c>
      <c r="AB22" s="132">
        <f t="shared" si="6"/>
        <v>0.36</v>
      </c>
      <c r="AC22" s="134" t="str">
        <f t="shared" ca="1" si="7"/>
        <v>Moderado</v>
      </c>
      <c r="AD22" s="132">
        <f t="shared" ca="1" si="8"/>
        <v>0.6</v>
      </c>
      <c r="AE22" s="135" t="str">
        <f t="shared" ca="1" si="9"/>
        <v>Moderado</v>
      </c>
      <c r="AF22" s="131" t="s">
        <v>134</v>
      </c>
      <c r="AG22" s="154" t="s">
        <v>460</v>
      </c>
      <c r="AH22" s="154"/>
      <c r="AI22" s="154" t="s">
        <v>459</v>
      </c>
      <c r="AJ22" s="155" t="s">
        <v>477</v>
      </c>
      <c r="AK22" s="155">
        <v>45657</v>
      </c>
      <c r="AL22" s="138"/>
      <c r="AM22" s="139"/>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row>
    <row r="23" spans="1:71" ht="176.25" customHeight="1" x14ac:dyDescent="0.3">
      <c r="A23" s="120" t="s">
        <v>223</v>
      </c>
      <c r="B23" s="120" t="s">
        <v>223</v>
      </c>
      <c r="C23" s="120">
        <v>23</v>
      </c>
      <c r="D23" s="121" t="s">
        <v>132</v>
      </c>
      <c r="E23" s="121" t="s">
        <v>349</v>
      </c>
      <c r="F23" s="121" t="s">
        <v>350</v>
      </c>
      <c r="G23" s="122" t="s">
        <v>351</v>
      </c>
      <c r="H23" s="121" t="s">
        <v>122</v>
      </c>
      <c r="I23" s="123">
        <v>8000</v>
      </c>
      <c r="J23" s="124" t="str">
        <f t="shared" si="13"/>
        <v>Muy Alta</v>
      </c>
      <c r="K23" s="125">
        <f t="shared" si="0"/>
        <v>1</v>
      </c>
      <c r="L23" s="126" t="s">
        <v>150</v>
      </c>
      <c r="M23" s="235" t="str">
        <f ca="1">IF(NOT(ISERROR(MATCH(L23,_xlfn.ANCHORARRAY(G32),0))),#REF!&amp;"Por favor no seleccionar los criterios de impacto",L23)</f>
        <v xml:space="preserve">     Mayor a 500 SMLMV </v>
      </c>
      <c r="N23" s="124" t="str">
        <f ca="1">IF(OR(M23='Tabla Impacto'!$C$11,M23='Tabla Impacto'!$D$11),"Leve",IF(OR(M23='Tabla Impacto'!$C$12,M23='Tabla Impacto'!$D$12),"Menor",IF(OR(M23='Tabla Impacto'!$C$13,M23='Tabla Impacto'!$D$13),"Moderado",IF(OR(M23='Tabla Impacto'!$C$14,M23='Tabla Impacto'!$D$14),"Mayor",IF(OR(M23='Tabla Impacto'!$C$15,M23='Tabla Impacto'!$D$15),"Catastrófico","")))))</f>
        <v>Catastrófico</v>
      </c>
      <c r="O23" s="125">
        <f t="shared" ca="1" si="1"/>
        <v>1</v>
      </c>
      <c r="P23" s="127" t="str">
        <f t="shared" ca="1" si="2"/>
        <v>Extremo</v>
      </c>
      <c r="Q23" s="128">
        <v>1</v>
      </c>
      <c r="R23" s="164" t="s">
        <v>352</v>
      </c>
      <c r="S23" s="130" t="str">
        <f t="shared" si="3"/>
        <v>Probabilidad</v>
      </c>
      <c r="T23" s="131" t="s">
        <v>14</v>
      </c>
      <c r="U23" s="131" t="s">
        <v>9</v>
      </c>
      <c r="V23" s="132" t="str">
        <f t="shared" si="4"/>
        <v>40%</v>
      </c>
      <c r="W23" s="131" t="s">
        <v>19</v>
      </c>
      <c r="X23" s="131" t="s">
        <v>22</v>
      </c>
      <c r="Y23" s="131" t="s">
        <v>118</v>
      </c>
      <c r="Z23" s="133">
        <f>IFERROR(IF(AND(S22="Probabilidad",S23="Probabilidad"),(AB22-(+AB22*V23)),IF(AND(S22="Impacto",S23="Probabilidad"),(#REF!-(+#REF!*V23)),IF(S23="Impacto",AB22,""))),"")</f>
        <v>0.216</v>
      </c>
      <c r="AA23" s="134" t="str">
        <f t="shared" si="5"/>
        <v>Baja</v>
      </c>
      <c r="AB23" s="132">
        <f t="shared" si="6"/>
        <v>0.216</v>
      </c>
      <c r="AC23" s="134" t="str">
        <f t="shared" ca="1" si="7"/>
        <v>Catastrófico</v>
      </c>
      <c r="AD23" s="132">
        <f t="shared" ca="1" si="8"/>
        <v>1</v>
      </c>
      <c r="AE23" s="135" t="str">
        <f t="shared" ca="1" si="9"/>
        <v>Extremo</v>
      </c>
      <c r="AF23" s="131" t="s">
        <v>134</v>
      </c>
      <c r="AG23" s="154" t="s">
        <v>354</v>
      </c>
      <c r="AH23" s="154"/>
      <c r="AI23" s="154" t="s">
        <v>353</v>
      </c>
      <c r="AJ23" s="155" t="s">
        <v>477</v>
      </c>
      <c r="AK23" s="155">
        <v>45657</v>
      </c>
      <c r="AL23" s="138"/>
      <c r="AM23" s="139"/>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row>
    <row r="24" spans="1:71" ht="198.75" customHeight="1" x14ac:dyDescent="0.3">
      <c r="A24" s="120" t="s">
        <v>224</v>
      </c>
      <c r="B24" s="137" t="s">
        <v>225</v>
      </c>
      <c r="C24" s="120">
        <v>26</v>
      </c>
      <c r="D24" s="144" t="s">
        <v>130</v>
      </c>
      <c r="E24" s="144" t="s">
        <v>243</v>
      </c>
      <c r="F24" s="144" t="s">
        <v>246</v>
      </c>
      <c r="G24" s="143" t="s">
        <v>242</v>
      </c>
      <c r="H24" s="144" t="s">
        <v>122</v>
      </c>
      <c r="I24" s="146">
        <v>52</v>
      </c>
      <c r="J24" s="145" t="str">
        <f t="shared" si="13"/>
        <v>Media</v>
      </c>
      <c r="K24" s="147">
        <f t="shared" si="0"/>
        <v>0.6</v>
      </c>
      <c r="L24" s="148" t="s">
        <v>147</v>
      </c>
      <c r="M24" s="246" t="str">
        <f ca="1">IF(NOT(ISERROR(MATCH(L24,_xlfn.ANCHORARRAY(#REF!),0))),K35&amp;"Por favor no seleccionar los criterios de impacto",L24)</f>
        <v xml:space="preserve">     Entre 50 y 100 SMLMV </v>
      </c>
      <c r="N24" s="145" t="str">
        <f ca="1">IF(OR(M24='Tabla Impacto'!$C$11,M24='Tabla Impacto'!$D$11),"Leve",IF(OR(M24='Tabla Impacto'!$C$12,M24='Tabla Impacto'!$D$12),"Menor",IF(OR(M24='Tabla Impacto'!$C$13,M24='Tabla Impacto'!$D$13),"Moderado",IF(OR(M24='Tabla Impacto'!$C$14,M24='Tabla Impacto'!$D$14),"Mayor",IF(OR(M24='Tabla Impacto'!$C$15,M24='Tabla Impacto'!$D$15),"Catastrófico","")))))</f>
        <v>Moderado</v>
      </c>
      <c r="O24" s="147">
        <f t="shared" ca="1" si="1"/>
        <v>0.6</v>
      </c>
      <c r="P24" s="149" t="str">
        <f t="shared" ca="1" si="2"/>
        <v>Moderado</v>
      </c>
      <c r="Q24" s="120">
        <v>2</v>
      </c>
      <c r="R24" s="154" t="s">
        <v>244</v>
      </c>
      <c r="S24" s="150" t="str">
        <f t="shared" si="3"/>
        <v>Probabilidad</v>
      </c>
      <c r="T24" s="151" t="s">
        <v>14</v>
      </c>
      <c r="U24" s="151" t="s">
        <v>9</v>
      </c>
      <c r="V24" s="152" t="str">
        <f t="shared" si="4"/>
        <v>40%</v>
      </c>
      <c r="W24" s="151" t="s">
        <v>19</v>
      </c>
      <c r="X24" s="151" t="s">
        <v>22</v>
      </c>
      <c r="Y24" s="151" t="s">
        <v>118</v>
      </c>
      <c r="Z24" s="133" t="str">
        <f>IFERROR(IF(AND(#REF!="Probabilidad",S24="Probabilidad"),(#REF!-(+#REF!*V24)),IF(S24="Probabilidad",(#REF!-(+#REF!*V24)),IF(S24="Impacto",#REF!,""))),"")</f>
        <v/>
      </c>
      <c r="AA24" s="134" t="str">
        <f>IFERROR(IF(Z24="","",IF(Z24&lt;=0.2,"Muy Baja",IF(Z24&lt;=0.4,"Baja",IF(Z24&lt;=0.6,"Media",IF(Z24&lt;=0.8,"Alta","Muy Alta"))))),"")</f>
        <v/>
      </c>
      <c r="AB24" s="152">
        <v>0.4</v>
      </c>
      <c r="AC24" s="153" t="str">
        <f t="shared" ca="1" si="7"/>
        <v>Moderado</v>
      </c>
      <c r="AD24" s="152">
        <f t="shared" ca="1" si="8"/>
        <v>0.6</v>
      </c>
      <c r="AE24" s="135" t="str">
        <f t="shared" ca="1" si="9"/>
        <v/>
      </c>
      <c r="AF24" s="151" t="s">
        <v>134</v>
      </c>
      <c r="AG24" s="154" t="s">
        <v>247</v>
      </c>
      <c r="AH24" s="154"/>
      <c r="AI24" s="154" t="s">
        <v>245</v>
      </c>
      <c r="AJ24" s="155">
        <v>45322</v>
      </c>
      <c r="AK24" s="155">
        <v>45657</v>
      </c>
      <c r="AL24" s="138"/>
      <c r="AM24" s="139"/>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row>
    <row r="25" spans="1:71" ht="151.5" customHeight="1" x14ac:dyDescent="0.3">
      <c r="A25" s="236" t="s">
        <v>226</v>
      </c>
      <c r="B25" s="120" t="s">
        <v>215</v>
      </c>
      <c r="C25" s="120">
        <v>72</v>
      </c>
      <c r="D25" s="176" t="s">
        <v>132</v>
      </c>
      <c r="E25" s="144" t="s">
        <v>302</v>
      </c>
      <c r="F25" s="144" t="s">
        <v>303</v>
      </c>
      <c r="G25" s="143" t="s">
        <v>304</v>
      </c>
      <c r="H25" s="121" t="s">
        <v>125</v>
      </c>
      <c r="I25" s="123">
        <v>365</v>
      </c>
      <c r="J25" s="124" t="str">
        <f t="shared" si="13"/>
        <v>Media</v>
      </c>
      <c r="K25" s="125">
        <f t="shared" si="0"/>
        <v>0.6</v>
      </c>
      <c r="L25" s="148" t="s">
        <v>154</v>
      </c>
      <c r="M25" s="246" t="str">
        <f ca="1">IF(NOT(ISERROR(MATCH(L25,_xlfn.ANCHORARRAY(G34),0))),#REF!&amp;"Por favor no seleccionar los criterios de impacto",L25)</f>
        <v xml:space="preserve">     El riesgo afecta la imagen de de la entidad con efecto publicitario sostenido a nivel de sector administrativo, nivel departamental o municipal</v>
      </c>
      <c r="N25" s="145" t="str">
        <f ca="1">IF(OR(M25='Tabla Impacto'!$C$11,M25='Tabla Impacto'!$D$11),"Leve",IF(OR(M25='Tabla Impacto'!$C$12,M25='Tabla Impacto'!$D$12),"Menor",IF(OR(M25='Tabla Impacto'!$C$13,M25='Tabla Impacto'!$D$13),"Moderado",IF(OR(M25='Tabla Impacto'!$C$14,M25='Tabla Impacto'!$D$14),"Mayor",IF(OR(M25='Tabla Impacto'!$C$15,M25='Tabla Impacto'!$D$15),"Catastrófico","")))))</f>
        <v>Mayor</v>
      </c>
      <c r="O25" s="147">
        <f t="shared" ca="1" si="1"/>
        <v>0.8</v>
      </c>
      <c r="P25" s="149" t="str">
        <f t="shared" ca="1" si="2"/>
        <v>Alto</v>
      </c>
      <c r="Q25" s="128">
        <v>1</v>
      </c>
      <c r="R25" s="170" t="s">
        <v>317</v>
      </c>
      <c r="S25" s="130" t="str">
        <f t="shared" si="3"/>
        <v>Probabilidad</v>
      </c>
      <c r="T25" s="131" t="s">
        <v>14</v>
      </c>
      <c r="U25" s="131" t="s">
        <v>10</v>
      </c>
      <c r="V25" s="132" t="str">
        <f t="shared" si="4"/>
        <v>50%</v>
      </c>
      <c r="W25" s="131" t="s">
        <v>19</v>
      </c>
      <c r="X25" s="131" t="s">
        <v>22</v>
      </c>
      <c r="Y25" s="131" t="s">
        <v>118</v>
      </c>
      <c r="Z25" s="133">
        <f>IFERROR(IF(AND(S24="Probabilidad",S25="Probabilidad"),(AB24-(+AB24*V25)),IF(AND(S24="Impacto",S25="Probabilidad"),(#REF!-(+#REF!*V25)),IF(S25="Impacto",AB24,""))),"")</f>
        <v>0.2</v>
      </c>
      <c r="AA25" s="134" t="str">
        <f t="shared" si="5"/>
        <v>Muy Baja</v>
      </c>
      <c r="AB25" s="132">
        <f t="shared" si="6"/>
        <v>0.2</v>
      </c>
      <c r="AC25" s="134" t="str">
        <f t="shared" ca="1" si="7"/>
        <v>Mayor</v>
      </c>
      <c r="AD25" s="132">
        <f t="shared" ca="1" si="8"/>
        <v>0.8</v>
      </c>
      <c r="AE25" s="135" t="str">
        <f t="shared" ca="1" si="9"/>
        <v>Alto</v>
      </c>
      <c r="AF25" s="131" t="s">
        <v>134</v>
      </c>
      <c r="AG25" s="167" t="s">
        <v>322</v>
      </c>
      <c r="AH25" s="179"/>
      <c r="AI25" s="146" t="s">
        <v>323</v>
      </c>
      <c r="AJ25" s="155">
        <v>45352</v>
      </c>
      <c r="AK25" s="155">
        <v>45291</v>
      </c>
      <c r="AL25" s="138"/>
      <c r="AM25" s="139"/>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row>
    <row r="26" spans="1:71" ht="151.5" customHeight="1" x14ac:dyDescent="0.3">
      <c r="A26" s="237"/>
      <c r="B26" s="120" t="s">
        <v>215</v>
      </c>
      <c r="C26" s="120">
        <v>73</v>
      </c>
      <c r="D26" s="121" t="s">
        <v>132</v>
      </c>
      <c r="E26" s="144" t="s">
        <v>305</v>
      </c>
      <c r="F26" s="144" t="s">
        <v>306</v>
      </c>
      <c r="G26" s="143" t="s">
        <v>307</v>
      </c>
      <c r="H26" s="121" t="s">
        <v>127</v>
      </c>
      <c r="I26" s="123">
        <v>365</v>
      </c>
      <c r="J26" s="124" t="str">
        <f t="shared" si="13"/>
        <v>Media</v>
      </c>
      <c r="K26" s="125">
        <f t="shared" si="0"/>
        <v>0.6</v>
      </c>
      <c r="L26" s="148" t="s">
        <v>153</v>
      </c>
      <c r="M26" s="246" t="str">
        <f ca="1">IF(NOT(ISERROR(MATCH(L26,_xlfn.ANCHORARRAY(G35),0))),#REF!&amp;"Por favor no seleccionar los criterios de impacto",L26)</f>
        <v xml:space="preserve">     El riesgo afecta la imagen de la entidad con algunos usuarios de relevancia frente al logro de los objetivos</v>
      </c>
      <c r="N26" s="145" t="str">
        <f ca="1">IF(OR(M26='Tabla Impacto'!$C$11,M26='Tabla Impacto'!$D$11),"Leve",IF(OR(M26='Tabla Impacto'!$C$12,M26='Tabla Impacto'!$D$12),"Menor",IF(OR(M26='Tabla Impacto'!$C$13,M26='Tabla Impacto'!$D$13),"Moderado",IF(OR(M26='Tabla Impacto'!$C$14,M26='Tabla Impacto'!$D$14),"Mayor",IF(OR(M26='Tabla Impacto'!$C$15,M26='Tabla Impacto'!$D$15),"Catastrófico","")))))</f>
        <v>Moderado</v>
      </c>
      <c r="O26" s="147">
        <f t="shared" ca="1" si="1"/>
        <v>0.6</v>
      </c>
      <c r="P26" s="149" t="str">
        <f t="shared" ca="1" si="2"/>
        <v>Moderado</v>
      </c>
      <c r="Q26" s="128">
        <v>2</v>
      </c>
      <c r="R26" s="171" t="s">
        <v>318</v>
      </c>
      <c r="S26" s="130" t="str">
        <f t="shared" si="3"/>
        <v>Probabilidad</v>
      </c>
      <c r="T26" s="131" t="s">
        <v>14</v>
      </c>
      <c r="U26" s="131" t="s">
        <v>9</v>
      </c>
      <c r="V26" s="132" t="str">
        <f t="shared" si="4"/>
        <v>40%</v>
      </c>
      <c r="W26" s="131" t="s">
        <v>19</v>
      </c>
      <c r="X26" s="131" t="s">
        <v>22</v>
      </c>
      <c r="Y26" s="131" t="s">
        <v>118</v>
      </c>
      <c r="Z26" s="133">
        <f t="shared" ref="Z26:Z28" si="14">IFERROR(IF(AND(S25="Probabilidad",S26="Probabilidad"),(AB25-(+AB25*V26)),IF(AND(S25="Impacto",S26="Probabilidad"),(AB24-(+AB24*V26)),IF(S26="Impacto",AB25,""))),"")</f>
        <v>0.12</v>
      </c>
      <c r="AA26" s="134" t="str">
        <f t="shared" si="5"/>
        <v>Muy Baja</v>
      </c>
      <c r="AB26" s="132">
        <f t="shared" si="6"/>
        <v>0.12</v>
      </c>
      <c r="AC26" s="134" t="str">
        <f t="shared" ca="1" si="7"/>
        <v>Moderado</v>
      </c>
      <c r="AD26" s="132">
        <f t="shared" ca="1" si="8"/>
        <v>0.6</v>
      </c>
      <c r="AE26" s="135" t="str">
        <f t="shared" ca="1" si="9"/>
        <v>Moderado</v>
      </c>
      <c r="AF26" s="131" t="s">
        <v>134</v>
      </c>
      <c r="AG26" s="138" t="s">
        <v>324</v>
      </c>
      <c r="AH26" s="138"/>
      <c r="AI26" s="146" t="s">
        <v>323</v>
      </c>
      <c r="AJ26" s="155">
        <v>44986</v>
      </c>
      <c r="AK26" s="155">
        <v>45657</v>
      </c>
      <c r="AL26" s="138"/>
      <c r="AM26" s="139"/>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row>
    <row r="27" spans="1:71" ht="151.5" customHeight="1" x14ac:dyDescent="0.3">
      <c r="A27" s="237"/>
      <c r="B27" s="120" t="s">
        <v>215</v>
      </c>
      <c r="C27" s="120">
        <v>74</v>
      </c>
      <c r="D27" s="121" t="s">
        <v>130</v>
      </c>
      <c r="E27" s="158" t="s">
        <v>308</v>
      </c>
      <c r="F27" s="158" t="s">
        <v>309</v>
      </c>
      <c r="G27" s="159" t="s">
        <v>310</v>
      </c>
      <c r="H27" s="121" t="s">
        <v>122</v>
      </c>
      <c r="I27" s="123">
        <v>365</v>
      </c>
      <c r="J27" s="124" t="str">
        <f t="shared" si="13"/>
        <v>Media</v>
      </c>
      <c r="K27" s="125">
        <f t="shared" si="0"/>
        <v>0.6</v>
      </c>
      <c r="L27" s="148" t="s">
        <v>153</v>
      </c>
      <c r="M27" s="246" t="str">
        <f ca="1">IF(NOT(ISERROR(MATCH(L27,_xlfn.ANCHORARRAY(#REF!),0))),#REF!&amp;"Por favor no seleccionar los criterios de impacto",L27)</f>
        <v xml:space="preserve">     El riesgo afecta la imagen de la entidad con algunos usuarios de relevancia frente al logro de los objetivos</v>
      </c>
      <c r="N27" s="145" t="str">
        <f ca="1">IF(OR(M27='Tabla Impacto'!$C$11,M27='Tabla Impacto'!$D$11),"Leve",IF(OR(M27='Tabla Impacto'!$C$12,M27='Tabla Impacto'!$D$12),"Menor",IF(OR(M27='Tabla Impacto'!$C$13,M27='Tabla Impacto'!$D$13),"Moderado",IF(OR(M27='Tabla Impacto'!$C$14,M27='Tabla Impacto'!$D$14),"Mayor",IF(OR(M27='Tabla Impacto'!$C$15,M27='Tabla Impacto'!$D$15),"Catastrófico","")))))</f>
        <v>Moderado</v>
      </c>
      <c r="O27" s="147">
        <f t="shared" ca="1" si="1"/>
        <v>0.6</v>
      </c>
      <c r="P27" s="149" t="str">
        <f t="shared" ca="1" si="2"/>
        <v>Moderado</v>
      </c>
      <c r="Q27" s="128">
        <v>1</v>
      </c>
      <c r="R27" s="171" t="s">
        <v>319</v>
      </c>
      <c r="S27" s="130" t="str">
        <f t="shared" si="3"/>
        <v>Probabilidad</v>
      </c>
      <c r="T27" s="131" t="s">
        <v>14</v>
      </c>
      <c r="U27" s="131" t="s">
        <v>9</v>
      </c>
      <c r="V27" s="132" t="str">
        <f t="shared" si="4"/>
        <v>40%</v>
      </c>
      <c r="W27" s="131" t="s">
        <v>19</v>
      </c>
      <c r="X27" s="131" t="s">
        <v>22</v>
      </c>
      <c r="Y27" s="131" t="s">
        <v>118</v>
      </c>
      <c r="Z27" s="133">
        <f t="shared" si="14"/>
        <v>7.1999999999999995E-2</v>
      </c>
      <c r="AA27" s="134" t="str">
        <f t="shared" si="5"/>
        <v>Muy Baja</v>
      </c>
      <c r="AB27" s="132">
        <f t="shared" si="6"/>
        <v>7.1999999999999995E-2</v>
      </c>
      <c r="AC27" s="134" t="str">
        <f t="shared" ca="1" si="7"/>
        <v>Moderado</v>
      </c>
      <c r="AD27" s="132">
        <f t="shared" ca="1" si="8"/>
        <v>0.6</v>
      </c>
      <c r="AE27" s="135" t="str">
        <f t="shared" ca="1" si="9"/>
        <v>Moderado</v>
      </c>
      <c r="AF27" s="131" t="s">
        <v>134</v>
      </c>
      <c r="AG27" s="168" t="s">
        <v>325</v>
      </c>
      <c r="AH27" s="180"/>
      <c r="AI27" s="154" t="s">
        <v>323</v>
      </c>
      <c r="AJ27" s="155" t="s">
        <v>477</v>
      </c>
      <c r="AK27" s="155">
        <v>45657</v>
      </c>
      <c r="AL27" s="138"/>
      <c r="AM27" s="139"/>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row>
    <row r="28" spans="1:71" ht="151.5" customHeight="1" x14ac:dyDescent="0.3">
      <c r="A28" s="237"/>
      <c r="B28" s="120" t="s">
        <v>215</v>
      </c>
      <c r="C28" s="120">
        <v>29</v>
      </c>
      <c r="D28" s="121" t="s">
        <v>132</v>
      </c>
      <c r="E28" s="121" t="s">
        <v>311</v>
      </c>
      <c r="F28" s="121" t="s">
        <v>312</v>
      </c>
      <c r="G28" s="122" t="s">
        <v>313</v>
      </c>
      <c r="H28" s="121" t="s">
        <v>122</v>
      </c>
      <c r="I28" s="123">
        <v>1100</v>
      </c>
      <c r="J28" s="124" t="str">
        <f t="shared" si="13"/>
        <v>Alta</v>
      </c>
      <c r="K28" s="125">
        <f t="shared" si="0"/>
        <v>0.8</v>
      </c>
      <c r="L28" s="148" t="s">
        <v>149</v>
      </c>
      <c r="M28" s="246" t="str">
        <f ca="1">IF(NOT(ISERROR(MATCH(L28,_xlfn.ANCHORARRAY(#REF!),0))),#REF!&amp;"Por favor no seleccionar los criterios de impacto",L28)</f>
        <v xml:space="preserve">     Entre 100 y 500 SMLMV </v>
      </c>
      <c r="N28" s="145" t="str">
        <f ca="1">IF(OR(M28='Tabla Impacto'!$C$11,M28='Tabla Impacto'!$D$11),"Leve",IF(OR(M28='Tabla Impacto'!$C$12,M28='Tabla Impacto'!$D$12),"Menor",IF(OR(M28='Tabla Impacto'!$C$13,M28='Tabla Impacto'!$D$13),"Moderado",IF(OR(M28='Tabla Impacto'!$C$14,M28='Tabla Impacto'!$D$14),"Mayor",IF(OR(M28='Tabla Impacto'!$C$15,M28='Tabla Impacto'!$D$15),"Catastrófico","")))))</f>
        <v>Mayor</v>
      </c>
      <c r="O28" s="147">
        <f t="shared" ca="1" si="1"/>
        <v>0.8</v>
      </c>
      <c r="P28" s="149" t="str">
        <f t="shared" ca="1" si="2"/>
        <v>Alto</v>
      </c>
      <c r="Q28" s="128">
        <v>1</v>
      </c>
      <c r="R28" s="164" t="s">
        <v>320</v>
      </c>
      <c r="S28" s="130" t="str">
        <f t="shared" si="3"/>
        <v>Probabilidad</v>
      </c>
      <c r="T28" s="131" t="s">
        <v>14</v>
      </c>
      <c r="U28" s="131" t="s">
        <v>9</v>
      </c>
      <c r="V28" s="132" t="str">
        <f t="shared" si="4"/>
        <v>40%</v>
      </c>
      <c r="W28" s="131" t="s">
        <v>19</v>
      </c>
      <c r="X28" s="131" t="s">
        <v>22</v>
      </c>
      <c r="Y28" s="131" t="s">
        <v>118</v>
      </c>
      <c r="Z28" s="133">
        <f t="shared" si="14"/>
        <v>4.3199999999999995E-2</v>
      </c>
      <c r="AA28" s="134" t="str">
        <f t="shared" si="5"/>
        <v>Muy Baja</v>
      </c>
      <c r="AB28" s="132">
        <f t="shared" si="6"/>
        <v>4.3199999999999995E-2</v>
      </c>
      <c r="AC28" s="134" t="str">
        <f t="shared" ca="1" si="7"/>
        <v>Mayor</v>
      </c>
      <c r="AD28" s="132">
        <f t="shared" ca="1" si="8"/>
        <v>0.8</v>
      </c>
      <c r="AE28" s="135" t="str">
        <f t="shared" ca="1" si="9"/>
        <v>Alto</v>
      </c>
      <c r="AF28" s="131" t="s">
        <v>134</v>
      </c>
      <c r="AG28" s="138" t="s">
        <v>326</v>
      </c>
      <c r="AH28" s="138"/>
      <c r="AI28" s="154" t="s">
        <v>323</v>
      </c>
      <c r="AJ28" s="155" t="s">
        <v>477</v>
      </c>
      <c r="AK28" s="155">
        <v>45657</v>
      </c>
      <c r="AL28" s="138"/>
      <c r="AM28" s="139"/>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row>
    <row r="29" spans="1:71" ht="151.5" customHeight="1" x14ac:dyDescent="0.3">
      <c r="A29" s="238"/>
      <c r="B29" s="120" t="s">
        <v>227</v>
      </c>
      <c r="C29" s="120">
        <v>32</v>
      </c>
      <c r="D29" s="121" t="s">
        <v>130</v>
      </c>
      <c r="E29" s="121" t="s">
        <v>314</v>
      </c>
      <c r="F29" s="121" t="s">
        <v>315</v>
      </c>
      <c r="G29" s="122" t="s">
        <v>316</v>
      </c>
      <c r="H29" s="121" t="s">
        <v>127</v>
      </c>
      <c r="I29" s="123">
        <v>450</v>
      </c>
      <c r="J29" s="124" t="str">
        <f t="shared" si="13"/>
        <v>Media</v>
      </c>
      <c r="K29" s="125">
        <f t="shared" si="0"/>
        <v>0.6</v>
      </c>
      <c r="L29" s="126" t="s">
        <v>153</v>
      </c>
      <c r="M29" s="235" t="str">
        <f>IF(NOT(ISERROR(MATCH(L29,'Tabla Impacto'!$B$221:$B$223,0))),'Tabla Impacto'!$F$223&amp;"Por favor no seleccionar los criterios de impacto(Afectación Económica o presupuestal y Pérdida Reputacional)",L29)</f>
        <v xml:space="preserve">     El riesgo afecta la imagen de la entidad con algunos usuarios de relevancia frente al logro de los objetivos</v>
      </c>
      <c r="N29" s="124" t="str">
        <f>IF(OR(M29='Tabla Impacto'!$C$11,M29='Tabla Impacto'!$D$11),"Leve",IF(OR(M29='Tabla Impacto'!$C$12,M29='Tabla Impacto'!$D$12),"Menor",IF(OR(M29='Tabla Impacto'!$C$13,M29='Tabla Impacto'!$D$13),"Moderado",IF(OR(M29='Tabla Impacto'!$C$14,M29='Tabla Impacto'!$D$14),"Mayor",IF(OR(M29='Tabla Impacto'!$C$15,M29='Tabla Impacto'!$D$15),"Catastrófico","")))))</f>
        <v>Moderado</v>
      </c>
      <c r="O29" s="125">
        <f t="shared" si="1"/>
        <v>0.6</v>
      </c>
      <c r="P29" s="127" t="str">
        <f t="shared" si="2"/>
        <v>Moderado</v>
      </c>
      <c r="Q29" s="128">
        <v>1</v>
      </c>
      <c r="R29" s="154" t="s">
        <v>321</v>
      </c>
      <c r="S29" s="130" t="str">
        <f t="shared" si="3"/>
        <v>Probabilidad</v>
      </c>
      <c r="T29" s="131" t="s">
        <v>14</v>
      </c>
      <c r="U29" s="131" t="s">
        <v>9</v>
      </c>
      <c r="V29" s="132" t="str">
        <f t="shared" si="4"/>
        <v>40%</v>
      </c>
      <c r="W29" s="131" t="s">
        <v>19</v>
      </c>
      <c r="X29" s="131" t="s">
        <v>22</v>
      </c>
      <c r="Y29" s="131" t="s">
        <v>118</v>
      </c>
      <c r="Z29" s="133">
        <f t="shared" ref="Z29:Z36" si="15">IFERROR(IF(S29="Probabilidad",(K29-(+K29*V29)),IF(S29="Impacto",K29,"")),"")</f>
        <v>0.36</v>
      </c>
      <c r="AA29" s="134" t="str">
        <f t="shared" si="5"/>
        <v>Baja</v>
      </c>
      <c r="AB29" s="132">
        <f t="shared" si="6"/>
        <v>0.36</v>
      </c>
      <c r="AC29" s="134" t="str">
        <f t="shared" si="7"/>
        <v>Moderado</v>
      </c>
      <c r="AD29" s="132">
        <f t="shared" si="8"/>
        <v>0.6</v>
      </c>
      <c r="AE29" s="135" t="str">
        <f t="shared" si="9"/>
        <v>Moderado</v>
      </c>
      <c r="AF29" s="131" t="s">
        <v>134</v>
      </c>
      <c r="AG29" s="138" t="s">
        <v>327</v>
      </c>
      <c r="AH29" s="138"/>
      <c r="AI29" s="139" t="s">
        <v>328</v>
      </c>
      <c r="AJ29" s="141" t="s">
        <v>477</v>
      </c>
      <c r="AK29" s="141">
        <v>45657</v>
      </c>
      <c r="AL29" s="138"/>
      <c r="AM29" s="139"/>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row>
    <row r="30" spans="1:71" ht="151.5" customHeight="1" x14ac:dyDescent="0.3">
      <c r="A30" s="263" t="s">
        <v>228</v>
      </c>
      <c r="B30" s="120" t="s">
        <v>229</v>
      </c>
      <c r="C30" s="120">
        <v>34</v>
      </c>
      <c r="D30" s="121" t="s">
        <v>132</v>
      </c>
      <c r="E30" s="144" t="s">
        <v>355</v>
      </c>
      <c r="F30" s="160" t="s">
        <v>356</v>
      </c>
      <c r="G30" s="161" t="s">
        <v>357</v>
      </c>
      <c r="H30" s="121" t="s">
        <v>122</v>
      </c>
      <c r="I30" s="123">
        <v>30</v>
      </c>
      <c r="J30" s="124" t="str">
        <f t="shared" si="13"/>
        <v>Media</v>
      </c>
      <c r="K30" s="125">
        <f t="shared" si="0"/>
        <v>0.6</v>
      </c>
      <c r="L30" s="126" t="s">
        <v>147</v>
      </c>
      <c r="M30" s="235" t="str">
        <f ca="1">IF(NOT(ISERROR(MATCH(L30,_xlfn.ANCHORARRAY(G36),0))),#REF!&amp;"Por favor no seleccionar los criterios de impacto",L30)</f>
        <v xml:space="preserve">     Entre 50 y 100 SMLMV </v>
      </c>
      <c r="N30" s="124" t="str">
        <f ca="1">IF(OR(M30='Tabla Impacto'!$C$11,M30='Tabla Impacto'!$D$11),"Leve",IF(OR(M30='Tabla Impacto'!$C$12,M30='Tabla Impacto'!$D$12),"Menor",IF(OR(M30='Tabla Impacto'!$C$13,M30='Tabla Impacto'!$D$13),"Moderado",IF(OR(M30='Tabla Impacto'!$C$14,M30='Tabla Impacto'!$D$14),"Mayor",IF(OR(M30='Tabla Impacto'!$C$15,M30='Tabla Impacto'!$D$15),"Catastrófico","")))))</f>
        <v>Moderado</v>
      </c>
      <c r="O30" s="125">
        <f t="shared" ca="1" si="1"/>
        <v>0.6</v>
      </c>
      <c r="P30" s="127" t="str">
        <f t="shared" ca="1" si="2"/>
        <v>Moderado</v>
      </c>
      <c r="Q30" s="128">
        <v>1</v>
      </c>
      <c r="R30" s="154" t="s">
        <v>361</v>
      </c>
      <c r="S30" s="130" t="str">
        <f t="shared" si="3"/>
        <v>Impacto</v>
      </c>
      <c r="T30" s="131" t="s">
        <v>16</v>
      </c>
      <c r="U30" s="131" t="s">
        <v>9</v>
      </c>
      <c r="V30" s="132" t="str">
        <f t="shared" si="4"/>
        <v>25%</v>
      </c>
      <c r="W30" s="131" t="s">
        <v>20</v>
      </c>
      <c r="X30" s="131" t="s">
        <v>22</v>
      </c>
      <c r="Y30" s="131" t="s">
        <v>119</v>
      </c>
      <c r="Z30" s="133">
        <f t="shared" si="15"/>
        <v>0.6</v>
      </c>
      <c r="AA30" s="134" t="str">
        <f t="shared" si="5"/>
        <v>Media</v>
      </c>
      <c r="AB30" s="132">
        <f t="shared" si="6"/>
        <v>0.6</v>
      </c>
      <c r="AC30" s="134" t="str">
        <f t="shared" ca="1" si="7"/>
        <v>Moderado</v>
      </c>
      <c r="AD30" s="132">
        <f t="shared" ca="1" si="8"/>
        <v>0.44999999999999996</v>
      </c>
      <c r="AE30" s="135" t="str">
        <f t="shared" ca="1" si="9"/>
        <v>Moderado</v>
      </c>
      <c r="AF30" s="131" t="s">
        <v>32</v>
      </c>
      <c r="AG30" s="138"/>
      <c r="AH30" s="138"/>
      <c r="AI30" s="139"/>
      <c r="AJ30" s="141" t="s">
        <v>477</v>
      </c>
      <c r="AK30" s="141">
        <v>45657</v>
      </c>
      <c r="AL30" s="138"/>
      <c r="AM30" s="139"/>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row>
    <row r="31" spans="1:71" ht="151.5" customHeight="1" x14ac:dyDescent="0.3">
      <c r="A31" s="264"/>
      <c r="B31" s="188" t="s">
        <v>229</v>
      </c>
      <c r="C31" s="188"/>
      <c r="D31" s="121" t="s">
        <v>132</v>
      </c>
      <c r="E31" s="190" t="s">
        <v>483</v>
      </c>
      <c r="F31" s="191" t="s">
        <v>484</v>
      </c>
      <c r="G31" s="192" t="s">
        <v>485</v>
      </c>
      <c r="H31" s="121" t="s">
        <v>122</v>
      </c>
      <c r="I31" s="123">
        <v>365</v>
      </c>
      <c r="J31" s="124" t="str">
        <f t="shared" si="13"/>
        <v>Media</v>
      </c>
      <c r="K31" s="125">
        <v>0.6</v>
      </c>
      <c r="L31" s="126" t="s">
        <v>147</v>
      </c>
      <c r="M31" s="235"/>
      <c r="N31" s="124" t="s">
        <v>80</v>
      </c>
      <c r="O31" s="125">
        <v>0.6</v>
      </c>
      <c r="P31" s="127" t="s">
        <v>80</v>
      </c>
      <c r="Q31" s="128">
        <v>1</v>
      </c>
      <c r="R31" s="154" t="s">
        <v>486</v>
      </c>
      <c r="S31" s="130" t="s">
        <v>487</v>
      </c>
      <c r="T31" s="131" t="s">
        <v>14</v>
      </c>
      <c r="U31" s="131" t="s">
        <v>9</v>
      </c>
      <c r="V31" s="132">
        <v>0.4</v>
      </c>
      <c r="W31" s="131" t="s">
        <v>19</v>
      </c>
      <c r="X31" s="131" t="s">
        <v>22</v>
      </c>
      <c r="Y31" s="131" t="s">
        <v>118</v>
      </c>
      <c r="Z31" s="133">
        <v>0.6</v>
      </c>
      <c r="AA31" s="134" t="str">
        <f t="shared" si="5"/>
        <v>Media</v>
      </c>
      <c r="AB31" s="132">
        <v>0.6</v>
      </c>
      <c r="AC31" s="134" t="s">
        <v>80</v>
      </c>
      <c r="AD31" s="132">
        <v>0.6</v>
      </c>
      <c r="AE31" s="135" t="s">
        <v>80</v>
      </c>
      <c r="AF31" s="131" t="s">
        <v>134</v>
      </c>
      <c r="AG31" s="138"/>
      <c r="AH31" s="138"/>
      <c r="AI31" s="139"/>
      <c r="AJ31" s="141" t="s">
        <v>477</v>
      </c>
      <c r="AK31" s="141">
        <v>45657</v>
      </c>
      <c r="AL31" s="138"/>
      <c r="AM31" s="139"/>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row>
    <row r="32" spans="1:71" ht="151.5" customHeight="1" x14ac:dyDescent="0.3">
      <c r="A32" s="264"/>
      <c r="B32" s="120" t="s">
        <v>229</v>
      </c>
      <c r="C32" s="120">
        <v>35</v>
      </c>
      <c r="D32" s="121" t="s">
        <v>132</v>
      </c>
      <c r="E32" s="144" t="s">
        <v>358</v>
      </c>
      <c r="F32" s="121" t="s">
        <v>359</v>
      </c>
      <c r="G32" s="162" t="s">
        <v>360</v>
      </c>
      <c r="H32" s="121" t="s">
        <v>122</v>
      </c>
      <c r="I32" s="123">
        <v>180</v>
      </c>
      <c r="J32" s="124" t="str">
        <f t="shared" si="13"/>
        <v>Media</v>
      </c>
      <c r="K32" s="125">
        <f t="shared" si="0"/>
        <v>0.6</v>
      </c>
      <c r="L32" s="126" t="s">
        <v>147</v>
      </c>
      <c r="M32" s="235" t="str">
        <f ca="1">IF(NOT(ISERROR(MATCH(L32,_xlfn.ANCHORARRAY(G37),0))),#REF!&amp;"Por favor no seleccionar los criterios de impacto",L32)</f>
        <v xml:space="preserve">     Entre 50 y 100 SMLMV </v>
      </c>
      <c r="N32" s="124" t="str">
        <f ca="1">IF(OR(M32='Tabla Impacto'!$C$11,M32='Tabla Impacto'!$D$11),"Leve",IF(OR(M32='Tabla Impacto'!$C$12,M32='Tabla Impacto'!$D$12),"Menor",IF(OR(M32='Tabla Impacto'!$C$13,M32='Tabla Impacto'!$D$13),"Moderado",IF(OR(M32='Tabla Impacto'!$C$14,M32='Tabla Impacto'!$D$14),"Mayor",IF(OR(M32='Tabla Impacto'!$C$15,M32='Tabla Impacto'!$D$15),"Catastrófico","")))))</f>
        <v>Moderado</v>
      </c>
      <c r="O32" s="125">
        <f t="shared" ca="1" si="1"/>
        <v>0.6</v>
      </c>
      <c r="P32" s="127" t="str">
        <f t="shared" ca="1" si="2"/>
        <v>Moderado</v>
      </c>
      <c r="Q32" s="128">
        <v>1</v>
      </c>
      <c r="R32" s="154" t="s">
        <v>362</v>
      </c>
      <c r="S32" s="130" t="str">
        <f t="shared" si="3"/>
        <v>Probabilidad</v>
      </c>
      <c r="T32" s="131" t="s">
        <v>14</v>
      </c>
      <c r="U32" s="131" t="s">
        <v>9</v>
      </c>
      <c r="V32" s="132" t="str">
        <f t="shared" si="4"/>
        <v>40%</v>
      </c>
      <c r="W32" s="131" t="s">
        <v>19</v>
      </c>
      <c r="X32" s="131" t="s">
        <v>22</v>
      </c>
      <c r="Y32" s="131" t="s">
        <v>118</v>
      </c>
      <c r="Z32" s="133">
        <f t="shared" si="15"/>
        <v>0.36</v>
      </c>
      <c r="AA32" s="134" t="str">
        <f t="shared" si="5"/>
        <v>Baja</v>
      </c>
      <c r="AB32" s="132">
        <f t="shared" si="6"/>
        <v>0.36</v>
      </c>
      <c r="AC32" s="134" t="str">
        <f t="shared" ca="1" si="7"/>
        <v>Moderado</v>
      </c>
      <c r="AD32" s="132">
        <f t="shared" ca="1" si="8"/>
        <v>0.6</v>
      </c>
      <c r="AE32" s="135" t="str">
        <f t="shared" ca="1" si="9"/>
        <v>Moderado</v>
      </c>
      <c r="AF32" s="131" t="s">
        <v>31</v>
      </c>
      <c r="AG32" s="138"/>
      <c r="AH32" s="138"/>
      <c r="AI32" s="139"/>
      <c r="AJ32" s="141" t="s">
        <v>477</v>
      </c>
      <c r="AK32" s="141">
        <v>45657</v>
      </c>
      <c r="AL32" s="138"/>
      <c r="AM32" s="139"/>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row>
    <row r="33" spans="1:71" ht="151.5" customHeight="1" x14ac:dyDescent="0.3">
      <c r="A33" s="265"/>
      <c r="B33" s="120" t="s">
        <v>229</v>
      </c>
      <c r="C33" s="120">
        <v>78</v>
      </c>
      <c r="D33" s="121" t="s">
        <v>132</v>
      </c>
      <c r="E33" s="121" t="s">
        <v>463</v>
      </c>
      <c r="F33" s="121" t="s">
        <v>462</v>
      </c>
      <c r="G33" s="122" t="s">
        <v>461</v>
      </c>
      <c r="H33" s="121" t="s">
        <v>122</v>
      </c>
      <c r="I33" s="123">
        <v>12</v>
      </c>
      <c r="J33" s="124" t="str">
        <f>IF(I33&lt;=0,"",IF(I33&lt;=2,"Muy Baja",IF(I33&lt;=24,"Baja",IF(I33&lt;=500,"Media",IF(I33&lt;=5000,"Alta","Muy Alta")))))</f>
        <v>Baja</v>
      </c>
      <c r="K33" s="125">
        <f t="shared" si="0"/>
        <v>0.4</v>
      </c>
      <c r="L33" s="126" t="s">
        <v>154</v>
      </c>
      <c r="M33" s="125" t="str">
        <f ca="1">IF(NOT(ISERROR(MATCH(L33,_xlfn.ANCHORARRAY(G37),0))),K38&amp;"Por favor no seleccionar los criterios de impacto",L33)</f>
        <v xml:space="preserve">     El riesgo afecta la imagen de de la entidad con efecto publicitario sostenido a nivel de sector administrativo, nivel departamental o municipal</v>
      </c>
      <c r="N33" s="124" t="str">
        <f ca="1">IF(OR(M33='Tabla Impacto'!$C$11,M33='Tabla Impacto'!$D$11),"Leve",IF(OR(M33='Tabla Impacto'!$C$12,M33='Tabla Impacto'!$D$12),"Menor",IF(OR(M33='Tabla Impacto'!$C$13,M33='Tabla Impacto'!$D$13),"Moderado",IF(OR(M33='Tabla Impacto'!$C$14,M33='Tabla Impacto'!$D$14),"Mayor",IF(OR(M33='Tabla Impacto'!$C$15,M33='Tabla Impacto'!$D$15),"Catastrófico","")))))</f>
        <v>Mayor</v>
      </c>
      <c r="O33" s="125">
        <f t="shared" ref="O33" ca="1" si="16">IF(N33="","",IF(N33="Leve",0.2,IF(N33="Menor",0.4,IF(N33="Moderado",0.6,IF(N33="Mayor",0.8,IF(N33="Catastrófico",1,))))))</f>
        <v>0.8</v>
      </c>
      <c r="P33" s="127" t="str">
        <f t="shared" ref="P33" ca="1" si="17">IF(OR(AND(J33="Muy Baja",N33="Leve"),AND(J33="Muy Baja",N33="Menor"),AND(J33="Baja",N33="Leve")),"Bajo",IF(OR(AND(J33="Muy baja",N33="Moderado"),AND(J33="Baja",N33="Menor"),AND(J33="Baja",N33="Moderado"),AND(J33="Media",N33="Leve"),AND(J33="Media",N33="Menor"),AND(J33="Media",N33="Moderado"),AND(J33="Alta",N33="Leve"),AND(J33="Alta",N33="Menor")),"Moderado",IF(OR(AND(J33="Muy Baja",N33="Mayor"),AND(J33="Baja",N33="Mayor"),AND(J33="Media",N33="Mayor"),AND(J33="Alta",N33="Moderado"),AND(J33="Alta",N33="Mayor"),AND(J33="Muy Alta",N33="Leve"),AND(J33="Muy Alta",N33="Menor"),AND(J33="Muy Alta",N33="Moderado"),AND(J33="Muy Alta",N33="Mayor")),"Alto",IF(OR(AND(J33="Muy Baja",N33="Catastrófico"),AND(J33="Baja",N33="Catastrófico"),AND(J33="Media",N33="Catastrófico"),AND(J33="Alta",N33="Catastrófico"),AND(J33="Muy Alta",N33="Catastrófico")),"Extremo",""))))</f>
        <v>Alto</v>
      </c>
      <c r="Q33" s="128">
        <v>1</v>
      </c>
      <c r="R33" s="154"/>
      <c r="S33" s="130" t="str">
        <f t="shared" si="3"/>
        <v>Impacto</v>
      </c>
      <c r="T33" s="131" t="s">
        <v>16</v>
      </c>
      <c r="U33" s="131" t="s">
        <v>9</v>
      </c>
      <c r="V33" s="132" t="str">
        <f t="shared" si="4"/>
        <v>25%</v>
      </c>
      <c r="W33" s="131" t="s">
        <v>20</v>
      </c>
      <c r="X33" s="131" t="s">
        <v>22</v>
      </c>
      <c r="Y33" s="131" t="s">
        <v>118</v>
      </c>
      <c r="Z33" s="133">
        <f t="shared" si="15"/>
        <v>0.4</v>
      </c>
      <c r="AA33" s="134" t="str">
        <f t="shared" si="5"/>
        <v>Baja</v>
      </c>
      <c r="AB33" s="132">
        <f t="shared" si="6"/>
        <v>0.4</v>
      </c>
      <c r="AC33" s="134" t="str">
        <f t="shared" ca="1" si="7"/>
        <v>Moderado</v>
      </c>
      <c r="AD33" s="132">
        <f t="shared" ca="1" si="8"/>
        <v>0.60000000000000009</v>
      </c>
      <c r="AE33" s="135" t="str">
        <f t="shared" ca="1" si="9"/>
        <v>Moderado</v>
      </c>
      <c r="AF33" s="131" t="s">
        <v>134</v>
      </c>
      <c r="AG33" s="138"/>
      <c r="AH33" s="138"/>
      <c r="AI33" s="139"/>
      <c r="AJ33" s="141" t="s">
        <v>477</v>
      </c>
      <c r="AK33" s="141">
        <v>45657</v>
      </c>
      <c r="AL33" s="138"/>
      <c r="AM33" s="139"/>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row>
    <row r="34" spans="1:71" ht="151.5" customHeight="1" x14ac:dyDescent="0.3">
      <c r="A34" s="263" t="s">
        <v>230</v>
      </c>
      <c r="B34" s="120" t="s">
        <v>231</v>
      </c>
      <c r="C34" s="120">
        <v>38</v>
      </c>
      <c r="D34" s="121" t="s">
        <v>132</v>
      </c>
      <c r="E34" s="121" t="s">
        <v>378</v>
      </c>
      <c r="F34" s="163" t="s">
        <v>379</v>
      </c>
      <c r="G34" s="122" t="s">
        <v>380</v>
      </c>
      <c r="H34" s="121" t="s">
        <v>122</v>
      </c>
      <c r="I34" s="123">
        <v>40</v>
      </c>
      <c r="J34" s="124" t="str">
        <f t="shared" si="13"/>
        <v>Media</v>
      </c>
      <c r="K34" s="125">
        <f t="shared" si="0"/>
        <v>0.6</v>
      </c>
      <c r="L34" s="126" t="s">
        <v>147</v>
      </c>
      <c r="M34" s="125" t="str">
        <f ca="1">IF(NOT(ISERROR(MATCH(L34,_xlfn.ANCHORARRAY(G38),0))),K39&amp;"Por favor no seleccionar los criterios de impacto",L34)</f>
        <v xml:space="preserve">     Entre 50 y 100 SMLMV </v>
      </c>
      <c r="N34" s="124" t="str">
        <f ca="1">IF(OR(M34='Tabla Impacto'!$C$11,M34='Tabla Impacto'!$D$11),"Leve",IF(OR(M34='Tabla Impacto'!$C$12,M34='Tabla Impacto'!$D$12),"Menor",IF(OR(M34='Tabla Impacto'!$C$13,M34='Tabla Impacto'!$D$13),"Moderado",IF(OR(M34='Tabla Impacto'!$C$14,M34='Tabla Impacto'!$D$14),"Mayor",IF(OR(M34='Tabla Impacto'!$C$15,M34='Tabla Impacto'!$D$15),"Catastrófico","")))))</f>
        <v>Moderado</v>
      </c>
      <c r="O34" s="125">
        <f t="shared" ca="1" si="1"/>
        <v>0.6</v>
      </c>
      <c r="P34" s="127" t="str">
        <f t="shared" ca="1" si="2"/>
        <v>Moderado</v>
      </c>
      <c r="Q34" s="128">
        <v>1</v>
      </c>
      <c r="R34" s="154" t="s">
        <v>381</v>
      </c>
      <c r="S34" s="130" t="str">
        <f t="shared" si="3"/>
        <v>Probabilidad</v>
      </c>
      <c r="T34" s="131" t="s">
        <v>15</v>
      </c>
      <c r="U34" s="131" t="s">
        <v>9</v>
      </c>
      <c r="V34" s="132" t="str">
        <f t="shared" si="4"/>
        <v>30%</v>
      </c>
      <c r="W34" s="131" t="s">
        <v>19</v>
      </c>
      <c r="X34" s="131" t="s">
        <v>22</v>
      </c>
      <c r="Y34" s="131" t="s">
        <v>118</v>
      </c>
      <c r="Z34" s="133">
        <f t="shared" si="15"/>
        <v>0.42</v>
      </c>
      <c r="AA34" s="134" t="str">
        <f t="shared" si="5"/>
        <v>Media</v>
      </c>
      <c r="AB34" s="132">
        <f t="shared" si="6"/>
        <v>0.42</v>
      </c>
      <c r="AC34" s="134" t="str">
        <f t="shared" ca="1" si="7"/>
        <v>Moderado</v>
      </c>
      <c r="AD34" s="132">
        <f t="shared" ca="1" si="8"/>
        <v>0.6</v>
      </c>
      <c r="AE34" s="135" t="str">
        <f t="shared" ca="1" si="9"/>
        <v>Moderado</v>
      </c>
      <c r="AF34" s="131" t="s">
        <v>31</v>
      </c>
      <c r="AG34" s="138"/>
      <c r="AH34" s="138"/>
      <c r="AI34" s="139"/>
      <c r="AJ34" s="141" t="s">
        <v>477</v>
      </c>
      <c r="AK34" s="141"/>
      <c r="AL34" s="138"/>
      <c r="AM34" s="139"/>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row>
    <row r="35" spans="1:71" ht="151.5" customHeight="1" x14ac:dyDescent="0.3">
      <c r="A35" s="264"/>
      <c r="B35" s="120" t="s">
        <v>231</v>
      </c>
      <c r="C35" s="120">
        <v>39</v>
      </c>
      <c r="D35" s="121" t="s">
        <v>132</v>
      </c>
      <c r="E35" s="121" t="s">
        <v>363</v>
      </c>
      <c r="F35" s="163" t="s">
        <v>364</v>
      </c>
      <c r="G35" s="122" t="s">
        <v>365</v>
      </c>
      <c r="H35" s="121" t="s">
        <v>122</v>
      </c>
      <c r="I35" s="123">
        <v>300</v>
      </c>
      <c r="J35" s="124" t="str">
        <f t="shared" si="13"/>
        <v>Media</v>
      </c>
      <c r="K35" s="125">
        <f t="shared" si="0"/>
        <v>0.6</v>
      </c>
      <c r="L35" s="126" t="s">
        <v>147</v>
      </c>
      <c r="M35" s="125" t="str">
        <f ca="1">IF(NOT(ISERROR(MATCH(L35,_xlfn.ANCHORARRAY(G39),0))),K40&amp;"Por favor no seleccionar los criterios de impacto",L35)</f>
        <v xml:space="preserve">     Entre 50 y 100 SMLMV </v>
      </c>
      <c r="N35" s="124" t="str">
        <f ca="1">IF(OR(M35='Tabla Impacto'!$C$11,M35='Tabla Impacto'!$D$11),"Leve",IF(OR(M35='Tabla Impacto'!$C$12,M35='Tabla Impacto'!$D$12),"Menor",IF(OR(M35='Tabla Impacto'!$C$13,M35='Tabla Impacto'!$D$13),"Moderado",IF(OR(M35='Tabla Impacto'!$C$14,M35='Tabla Impacto'!$D$14),"Mayor",IF(OR(M35='Tabla Impacto'!$C$15,M35='Tabla Impacto'!$D$15),"Catastrófico","")))))</f>
        <v>Moderado</v>
      </c>
      <c r="O35" s="125">
        <f t="shared" ca="1" si="1"/>
        <v>0.6</v>
      </c>
      <c r="P35" s="127" t="str">
        <f t="shared" ca="1" si="2"/>
        <v>Moderado</v>
      </c>
      <c r="Q35" s="128">
        <v>1</v>
      </c>
      <c r="R35" s="136" t="s">
        <v>382</v>
      </c>
      <c r="S35" s="130" t="str">
        <f t="shared" si="3"/>
        <v>Probabilidad</v>
      </c>
      <c r="T35" s="131" t="s">
        <v>14</v>
      </c>
      <c r="U35" s="131" t="s">
        <v>9</v>
      </c>
      <c r="V35" s="132" t="str">
        <f t="shared" si="4"/>
        <v>40%</v>
      </c>
      <c r="W35" s="131" t="s">
        <v>19</v>
      </c>
      <c r="X35" s="131" t="s">
        <v>22</v>
      </c>
      <c r="Y35" s="131" t="s">
        <v>118</v>
      </c>
      <c r="Z35" s="133">
        <f t="shared" si="15"/>
        <v>0.36</v>
      </c>
      <c r="AA35" s="134" t="str">
        <f t="shared" si="5"/>
        <v>Baja</v>
      </c>
      <c r="AB35" s="132">
        <f t="shared" si="6"/>
        <v>0.36</v>
      </c>
      <c r="AC35" s="134" t="str">
        <f t="shared" ca="1" si="7"/>
        <v>Moderado</v>
      </c>
      <c r="AD35" s="132">
        <f t="shared" ca="1" si="8"/>
        <v>0.6</v>
      </c>
      <c r="AE35" s="135" t="str">
        <f t="shared" ca="1" si="9"/>
        <v>Moderado</v>
      </c>
      <c r="AF35" s="131" t="s">
        <v>31</v>
      </c>
      <c r="AG35" s="138"/>
      <c r="AH35" s="138"/>
      <c r="AI35" s="139"/>
      <c r="AJ35" s="141" t="s">
        <v>477</v>
      </c>
      <c r="AK35" s="141">
        <v>45657</v>
      </c>
      <c r="AL35" s="138"/>
      <c r="AM35" s="139"/>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row>
    <row r="36" spans="1:71" ht="151.5" customHeight="1" x14ac:dyDescent="0.3">
      <c r="A36" s="264"/>
      <c r="B36" s="120" t="s">
        <v>232</v>
      </c>
      <c r="C36" s="120">
        <v>45</v>
      </c>
      <c r="D36" s="121" t="s">
        <v>131</v>
      </c>
      <c r="E36" s="121" t="s">
        <v>366</v>
      </c>
      <c r="F36" s="121" t="s">
        <v>367</v>
      </c>
      <c r="G36" s="122" t="s">
        <v>368</v>
      </c>
      <c r="H36" s="121"/>
      <c r="I36" s="123">
        <v>52</v>
      </c>
      <c r="J36" s="124" t="str">
        <f t="shared" si="13"/>
        <v>Media</v>
      </c>
      <c r="K36" s="125">
        <f t="shared" si="0"/>
        <v>0.6</v>
      </c>
      <c r="L36" s="126" t="s">
        <v>147</v>
      </c>
      <c r="M36" s="235" t="str">
        <f ca="1">IF(NOT(ISERROR(MATCH(L36,_xlfn.ANCHORARRAY(G44),0))),#REF!&amp;"Por favor no seleccionar los criterios de impacto",L36)</f>
        <v xml:space="preserve">     Entre 50 y 100 SMLMV </v>
      </c>
      <c r="N36" s="124" t="str">
        <f ca="1">IF(OR(M36='Tabla Impacto'!$C$11,M36='Tabla Impacto'!$D$11),"Leve",IF(OR(M36='Tabla Impacto'!$C$12,M36='Tabla Impacto'!$D$12),"Menor",IF(OR(M36='Tabla Impacto'!$C$13,M36='Tabla Impacto'!$D$13),"Moderado",IF(OR(M36='Tabla Impacto'!$C$14,M36='Tabla Impacto'!$D$14),"Mayor",IF(OR(M36='Tabla Impacto'!$C$15,M36='Tabla Impacto'!$D$15),"Catastrófico","")))))</f>
        <v>Moderado</v>
      </c>
      <c r="O36" s="125">
        <f t="shared" ca="1" si="1"/>
        <v>0.6</v>
      </c>
      <c r="P36" s="127" t="str">
        <f t="shared" ca="1" si="2"/>
        <v>Moderado</v>
      </c>
      <c r="Q36" s="128">
        <v>1</v>
      </c>
      <c r="R36" s="136" t="s">
        <v>383</v>
      </c>
      <c r="S36" s="130" t="str">
        <f t="shared" si="3"/>
        <v>Probabilidad</v>
      </c>
      <c r="T36" s="131" t="s">
        <v>14</v>
      </c>
      <c r="U36" s="131" t="s">
        <v>9</v>
      </c>
      <c r="V36" s="132" t="str">
        <f t="shared" si="4"/>
        <v>40%</v>
      </c>
      <c r="W36" s="131" t="s">
        <v>19</v>
      </c>
      <c r="X36" s="131" t="s">
        <v>22</v>
      </c>
      <c r="Y36" s="131" t="s">
        <v>118</v>
      </c>
      <c r="Z36" s="133">
        <f t="shared" si="15"/>
        <v>0.36</v>
      </c>
      <c r="AA36" s="134" t="str">
        <f t="shared" si="5"/>
        <v>Baja</v>
      </c>
      <c r="AB36" s="132">
        <f t="shared" si="6"/>
        <v>0.36</v>
      </c>
      <c r="AC36" s="134" t="str">
        <f t="shared" ca="1" si="7"/>
        <v>Moderado</v>
      </c>
      <c r="AD36" s="132">
        <f t="shared" ca="1" si="8"/>
        <v>0.6</v>
      </c>
      <c r="AE36" s="135" t="str">
        <f t="shared" ca="1" si="9"/>
        <v>Moderado</v>
      </c>
      <c r="AF36" s="131" t="s">
        <v>31</v>
      </c>
      <c r="AG36" s="138"/>
      <c r="AH36" s="138"/>
      <c r="AI36" s="139"/>
      <c r="AJ36" s="141" t="s">
        <v>477</v>
      </c>
      <c r="AK36" s="141">
        <v>45657</v>
      </c>
      <c r="AL36" s="138"/>
      <c r="AM36" s="139"/>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row>
    <row r="37" spans="1:71" ht="151.5" customHeight="1" x14ac:dyDescent="0.3">
      <c r="A37" s="264"/>
      <c r="B37" s="120" t="s">
        <v>232</v>
      </c>
      <c r="C37" s="120">
        <v>46</v>
      </c>
      <c r="D37" s="121" t="s">
        <v>132</v>
      </c>
      <c r="E37" s="121" t="s">
        <v>369</v>
      </c>
      <c r="F37" s="121" t="s">
        <v>370</v>
      </c>
      <c r="G37" s="122" t="s">
        <v>371</v>
      </c>
      <c r="H37" s="121" t="s">
        <v>122</v>
      </c>
      <c r="I37" s="123">
        <v>700</v>
      </c>
      <c r="J37" s="124" t="str">
        <f t="shared" si="13"/>
        <v>Alta</v>
      </c>
      <c r="K37" s="125">
        <f t="shared" si="0"/>
        <v>0.8</v>
      </c>
      <c r="L37" s="126" t="s">
        <v>149</v>
      </c>
      <c r="M37" s="235" t="str">
        <f ca="1">IF(NOT(ISERROR(MATCH(L37,_xlfn.ANCHORARRAY(#REF!),0))),#REF!&amp;"Por favor no seleccionar los criterios de impacto",L37)</f>
        <v xml:space="preserve">     Entre 100 y 500 SMLMV </v>
      </c>
      <c r="N37" s="124" t="str">
        <f ca="1">IF(OR(M37='Tabla Impacto'!$C$11,M37='Tabla Impacto'!$D$11),"Leve",IF(OR(M37='Tabla Impacto'!$C$12,M37='Tabla Impacto'!$D$12),"Menor",IF(OR(M37='Tabla Impacto'!$C$13,M37='Tabla Impacto'!$D$13),"Moderado",IF(OR(M37='Tabla Impacto'!$C$14,M37='Tabla Impacto'!$D$14),"Mayor",IF(OR(M37='Tabla Impacto'!$C$15,M37='Tabla Impacto'!$D$15),"Catastrófico","")))))</f>
        <v>Mayor</v>
      </c>
      <c r="O37" s="125">
        <f t="shared" ca="1" si="1"/>
        <v>0.8</v>
      </c>
      <c r="P37" s="127" t="str">
        <f t="shared" ca="1" si="2"/>
        <v>Alto</v>
      </c>
      <c r="Q37" s="128">
        <v>2</v>
      </c>
      <c r="R37" s="154" t="s">
        <v>384</v>
      </c>
      <c r="S37" s="130" t="str">
        <f t="shared" si="3"/>
        <v>Probabilidad</v>
      </c>
      <c r="T37" s="131" t="s">
        <v>14</v>
      </c>
      <c r="U37" s="131" t="s">
        <v>9</v>
      </c>
      <c r="V37" s="132" t="str">
        <f t="shared" si="4"/>
        <v>40%</v>
      </c>
      <c r="W37" s="131" t="s">
        <v>19</v>
      </c>
      <c r="X37" s="131" t="s">
        <v>22</v>
      </c>
      <c r="Y37" s="131" t="s">
        <v>118</v>
      </c>
      <c r="Z37" s="133">
        <f t="shared" ref="Z37:Z51" si="18">IFERROR(IF(S37="Probabilidad",(K37-(+K37*V37)),IF(S37="Impacto",K37,"")),"")</f>
        <v>0.48</v>
      </c>
      <c r="AA37" s="134" t="str">
        <f t="shared" si="5"/>
        <v>Media</v>
      </c>
      <c r="AB37" s="132">
        <f t="shared" si="6"/>
        <v>0.48</v>
      </c>
      <c r="AC37" s="134" t="str">
        <f t="shared" ca="1" si="7"/>
        <v>Mayor</v>
      </c>
      <c r="AD37" s="132">
        <f t="shared" ca="1" si="8"/>
        <v>0.8</v>
      </c>
      <c r="AE37" s="135" t="str">
        <f t="shared" ca="1" si="9"/>
        <v>Alto</v>
      </c>
      <c r="AF37" s="131" t="s">
        <v>134</v>
      </c>
      <c r="AG37" s="154" t="s">
        <v>387</v>
      </c>
      <c r="AH37" s="154"/>
      <c r="AI37" s="138" t="s">
        <v>389</v>
      </c>
      <c r="AJ37" s="141">
        <v>45352</v>
      </c>
      <c r="AK37" s="141">
        <v>45657</v>
      </c>
      <c r="AL37" s="138"/>
      <c r="AM37" s="139"/>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row>
    <row r="38" spans="1:71" ht="151.5" customHeight="1" x14ac:dyDescent="0.3">
      <c r="A38" s="264"/>
      <c r="B38" s="120" t="s">
        <v>233</v>
      </c>
      <c r="C38" s="120">
        <v>49</v>
      </c>
      <c r="D38" s="121" t="s">
        <v>132</v>
      </c>
      <c r="E38" s="121" t="s">
        <v>372</v>
      </c>
      <c r="F38" s="121" t="s">
        <v>373</v>
      </c>
      <c r="G38" s="122" t="s">
        <v>374</v>
      </c>
      <c r="H38" s="121" t="s">
        <v>122</v>
      </c>
      <c r="I38" s="123">
        <v>500</v>
      </c>
      <c r="J38" s="124" t="str">
        <f t="shared" si="13"/>
        <v>Media</v>
      </c>
      <c r="K38" s="125">
        <f t="shared" si="0"/>
        <v>0.6</v>
      </c>
      <c r="L38" s="126" t="s">
        <v>147</v>
      </c>
      <c r="M38" s="125" t="str">
        <f>IF(NOT(ISERROR(MATCH(L38,'Tabla Impacto'!$B$221:$B$223,0))),'Tabla Impacto'!$F$223&amp;"Por favor no seleccionar los criterios de impacto(Afectación Económica o presupuestal y Pérdida Reputacional)",L38)</f>
        <v xml:space="preserve">     Entre 50 y 100 SMLMV </v>
      </c>
      <c r="N38" s="124" t="str">
        <f>IF(OR(M38='Tabla Impacto'!$C$11,M38='Tabla Impacto'!$D$11),"Leve",IF(OR(M38='Tabla Impacto'!$C$12,M38='Tabla Impacto'!$D$12),"Menor",IF(OR(M38='Tabla Impacto'!$C$13,M38='Tabla Impacto'!$D$13),"Moderado",IF(OR(M38='Tabla Impacto'!$C$14,M38='Tabla Impacto'!$D$14),"Mayor",IF(OR(M38='Tabla Impacto'!$C$15,M38='Tabla Impacto'!$D$15),"Catastrófico","")))))</f>
        <v>Moderado</v>
      </c>
      <c r="O38" s="125">
        <f>IF(N38="","",IF(N38="Leve",0.2,IF(N38="Menor",0.4,IF(N38="Moderado",0.6,IF(N38="Mayor",0.8,IF(N38="Catastrófico",1,))))))</f>
        <v>0.6</v>
      </c>
      <c r="P38" s="127" t="str">
        <f>IF(OR(AND(J38="Muy Baja",N38="Leve"),AND(J38="Muy Baja",N38="Menor"),AND(J38="Baja",N38="Leve")),"Bajo",IF(OR(AND(J38="Muy baja",N38="Moderado"),AND(J38="Baja",N38="Menor"),AND(J38="Baja",N38="Moderado"),AND(J38="Media",N38="Leve"),AND(J38="Media",N38="Menor"),AND(J38="Media",N38="Moderado"),AND(J38="Alta",N38="Leve"),AND(J38="Alta",N38="Menor")),"Moderado",IF(OR(AND(J38="Muy Baja",N38="Mayor"),AND(J38="Baja",N38="Mayor"),AND(J38="Media",N38="Mayor"),AND(J38="Alta",N38="Moderado"),AND(J38="Alta",N38="Mayor"),AND(J38="Muy Alta",N38="Leve"),AND(J38="Muy Alta",N38="Menor"),AND(J38="Muy Alta",N38="Moderado"),AND(J38="Muy Alta",N38="Mayor")),"Alto",IF(OR(AND(J38="Muy Baja",N38="Catastrófico"),AND(J38="Baja",N38="Catastrófico"),AND(J38="Media",N38="Catastrófico"),AND(J38="Alta",N38="Catastrófico"),AND(J38="Muy Alta",N38="Catastrófico")),"Extremo",""))))</f>
        <v>Moderado</v>
      </c>
      <c r="Q38" s="128">
        <v>1</v>
      </c>
      <c r="R38" s="154" t="s">
        <v>385</v>
      </c>
      <c r="S38" s="130" t="str">
        <f t="shared" si="3"/>
        <v>Probabilidad</v>
      </c>
      <c r="T38" s="131" t="s">
        <v>14</v>
      </c>
      <c r="U38" s="131" t="s">
        <v>9</v>
      </c>
      <c r="V38" s="132" t="str">
        <f t="shared" si="4"/>
        <v>40%</v>
      </c>
      <c r="W38" s="131" t="s">
        <v>19</v>
      </c>
      <c r="X38" s="131" t="s">
        <v>22</v>
      </c>
      <c r="Y38" s="131" t="s">
        <v>118</v>
      </c>
      <c r="Z38" s="133">
        <f t="shared" si="18"/>
        <v>0.36</v>
      </c>
      <c r="AA38" s="134" t="str">
        <f t="shared" si="5"/>
        <v>Baja</v>
      </c>
      <c r="AB38" s="132">
        <f t="shared" si="6"/>
        <v>0.36</v>
      </c>
      <c r="AC38" s="134" t="str">
        <f t="shared" si="7"/>
        <v>Moderado</v>
      </c>
      <c r="AD38" s="132">
        <f t="shared" si="8"/>
        <v>0.6</v>
      </c>
      <c r="AE38" s="135" t="str">
        <f t="shared" si="9"/>
        <v>Moderado</v>
      </c>
      <c r="AF38" s="131" t="s">
        <v>31</v>
      </c>
      <c r="AG38" s="138"/>
      <c r="AH38" s="138"/>
      <c r="AI38" s="139"/>
      <c r="AJ38" s="141">
        <v>45352</v>
      </c>
      <c r="AK38" s="141">
        <v>45657</v>
      </c>
      <c r="AL38" s="138"/>
      <c r="AM38" s="139"/>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row>
    <row r="39" spans="1:71" ht="151.5" customHeight="1" x14ac:dyDescent="0.3">
      <c r="A39" s="264"/>
      <c r="B39" s="120" t="s">
        <v>233</v>
      </c>
      <c r="C39" s="120">
        <v>50</v>
      </c>
      <c r="D39" s="121" t="s">
        <v>132</v>
      </c>
      <c r="E39" s="121" t="s">
        <v>375</v>
      </c>
      <c r="F39" s="121" t="s">
        <v>376</v>
      </c>
      <c r="G39" s="122" t="s">
        <v>377</v>
      </c>
      <c r="H39" s="121" t="s">
        <v>122</v>
      </c>
      <c r="I39" s="123">
        <v>50</v>
      </c>
      <c r="J39" s="124" t="str">
        <f t="shared" si="13"/>
        <v>Media</v>
      </c>
      <c r="K39" s="125">
        <f t="shared" si="0"/>
        <v>0.6</v>
      </c>
      <c r="L39" s="126" t="s">
        <v>147</v>
      </c>
      <c r="M39" s="125" t="str">
        <f ca="1">IF(NOT(ISERROR(MATCH(L39,_xlfn.ANCHORARRAY(G60),0))),K62&amp;"Por favor no seleccionar los criterios de impacto",L39)</f>
        <v xml:space="preserve">     Entre 50 y 100 SMLMV </v>
      </c>
      <c r="N39" s="124" t="str">
        <f ca="1">IF(OR(M39='Tabla Impacto'!$C$11,M39='Tabla Impacto'!$D$11),"Leve",IF(OR(M39='Tabla Impacto'!$C$12,M39='Tabla Impacto'!$D$12),"Menor",IF(OR(M39='Tabla Impacto'!$C$13,M39='Tabla Impacto'!$D$13),"Moderado",IF(OR(M39='Tabla Impacto'!$C$14,M39='Tabla Impacto'!$D$14),"Mayor",IF(OR(M39='Tabla Impacto'!$C$15,M39='Tabla Impacto'!$D$15),"Catastrófico","")))))</f>
        <v>Moderado</v>
      </c>
      <c r="O39" s="125">
        <f t="shared" ca="1" si="1"/>
        <v>0.6</v>
      </c>
      <c r="P39" s="127" t="str">
        <f t="shared" ca="1" si="2"/>
        <v>Moderado</v>
      </c>
      <c r="Q39" s="128">
        <v>1</v>
      </c>
      <c r="R39" s="164" t="s">
        <v>386</v>
      </c>
      <c r="S39" s="130" t="str">
        <f t="shared" si="3"/>
        <v>Probabilidad</v>
      </c>
      <c r="T39" s="131" t="s">
        <v>14</v>
      </c>
      <c r="U39" s="131" t="s">
        <v>9</v>
      </c>
      <c r="V39" s="132" t="str">
        <f t="shared" si="4"/>
        <v>40%</v>
      </c>
      <c r="W39" s="131" t="s">
        <v>19</v>
      </c>
      <c r="X39" s="131" t="s">
        <v>22</v>
      </c>
      <c r="Y39" s="131" t="s">
        <v>118</v>
      </c>
      <c r="Z39" s="133">
        <f t="shared" si="18"/>
        <v>0.36</v>
      </c>
      <c r="AA39" s="134" t="str">
        <f t="shared" si="5"/>
        <v>Baja</v>
      </c>
      <c r="AB39" s="132">
        <f t="shared" si="6"/>
        <v>0.36</v>
      </c>
      <c r="AC39" s="134" t="str">
        <f t="shared" ca="1" si="7"/>
        <v>Moderado</v>
      </c>
      <c r="AD39" s="132">
        <f t="shared" ca="1" si="8"/>
        <v>0.6</v>
      </c>
      <c r="AE39" s="135" t="str">
        <f t="shared" ca="1" si="9"/>
        <v>Moderado</v>
      </c>
      <c r="AF39" s="131" t="s">
        <v>134</v>
      </c>
      <c r="AG39" s="138" t="s">
        <v>388</v>
      </c>
      <c r="AH39" s="138"/>
      <c r="AI39" s="138" t="s">
        <v>390</v>
      </c>
      <c r="AJ39" s="141">
        <v>45352</v>
      </c>
      <c r="AK39" s="141">
        <v>45657</v>
      </c>
      <c r="AL39" s="138"/>
      <c r="AM39" s="139"/>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row>
    <row r="40" spans="1:71" ht="151.5" customHeight="1" x14ac:dyDescent="0.3">
      <c r="A40" s="264"/>
      <c r="B40" s="120" t="s">
        <v>233</v>
      </c>
      <c r="C40" s="120">
        <v>75</v>
      </c>
      <c r="D40" s="121" t="s">
        <v>132</v>
      </c>
      <c r="E40" s="121" t="s">
        <v>392</v>
      </c>
      <c r="F40" s="121" t="s">
        <v>391</v>
      </c>
      <c r="G40" s="122" t="s">
        <v>393</v>
      </c>
      <c r="H40" s="121" t="s">
        <v>122</v>
      </c>
      <c r="I40" s="123">
        <v>500</v>
      </c>
      <c r="J40" s="124" t="str">
        <f t="shared" si="13"/>
        <v>Media</v>
      </c>
      <c r="K40" s="125">
        <f t="shared" si="0"/>
        <v>0.6</v>
      </c>
      <c r="L40" s="126" t="s">
        <v>147</v>
      </c>
      <c r="M40" s="125" t="str">
        <f ca="1">IF(NOT(ISERROR(MATCH(L40,_xlfn.ANCHORARRAY(G62),0))),K64&amp;"Por favor no seleccionar los criterios de impacto",L40)</f>
        <v xml:space="preserve">     Entre 50 y 100 SMLMV </v>
      </c>
      <c r="N40" s="124" t="str">
        <f ca="1">IF(OR(M40='Tabla Impacto'!$C$11,M40='Tabla Impacto'!$D$11),"Leve",IF(OR(M40='Tabla Impacto'!$C$12,M40='Tabla Impacto'!$D$12),"Menor",IF(OR(M40='Tabla Impacto'!$C$13,M40='Tabla Impacto'!$D$13),"Moderado",IF(OR(M40='Tabla Impacto'!$C$14,M40='Tabla Impacto'!$D$14),"Mayor",IF(OR(M40='Tabla Impacto'!$C$15,M40='Tabla Impacto'!$D$15),"Catastrófico","")))))</f>
        <v>Moderado</v>
      </c>
      <c r="O40" s="125">
        <f t="shared" ca="1" si="1"/>
        <v>0.6</v>
      </c>
      <c r="P40" s="127" t="str">
        <f t="shared" ca="1" si="2"/>
        <v>Moderado</v>
      </c>
      <c r="Q40" s="128">
        <v>1</v>
      </c>
      <c r="R40" s="164" t="s">
        <v>394</v>
      </c>
      <c r="S40" s="130" t="str">
        <f t="shared" si="3"/>
        <v>Probabilidad</v>
      </c>
      <c r="T40" s="131" t="s">
        <v>14</v>
      </c>
      <c r="U40" s="131" t="s">
        <v>9</v>
      </c>
      <c r="V40" s="132" t="str">
        <f t="shared" si="4"/>
        <v>40%</v>
      </c>
      <c r="W40" s="131" t="s">
        <v>19</v>
      </c>
      <c r="X40" s="131" t="s">
        <v>22</v>
      </c>
      <c r="Y40" s="131" t="s">
        <v>118</v>
      </c>
      <c r="Z40" s="133">
        <f t="shared" si="18"/>
        <v>0.36</v>
      </c>
      <c r="AA40" s="134" t="str">
        <f>IFERROR(IF(Z40="","",IF(Z40&lt;=0.2,"Muy Baja",IF(Z40&lt;=0.4,"Baja",IF(Z40&lt;=0.6,"Media",IF(Z40&lt;=0.8,"Alta","Muy Alta"))))),"")</f>
        <v>Baja</v>
      </c>
      <c r="AB40" s="132">
        <f t="shared" si="6"/>
        <v>0.36</v>
      </c>
      <c r="AC40" s="134" t="str">
        <f t="shared" ca="1" si="7"/>
        <v>Moderado</v>
      </c>
      <c r="AD40" s="132">
        <f t="shared" ca="1" si="8"/>
        <v>0.6</v>
      </c>
      <c r="AE40" s="135" t="str">
        <f t="shared" ca="1" si="9"/>
        <v>Moderado</v>
      </c>
      <c r="AF40" s="131" t="s">
        <v>134</v>
      </c>
      <c r="AG40" s="138"/>
      <c r="AH40" s="138"/>
      <c r="AI40" s="139"/>
      <c r="AJ40" s="141">
        <v>45352</v>
      </c>
      <c r="AK40" s="141">
        <v>45657</v>
      </c>
      <c r="AL40" s="138"/>
      <c r="AM40" s="139"/>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row>
    <row r="41" spans="1:71" ht="106.5" customHeight="1" x14ac:dyDescent="0.3">
      <c r="A41" s="264"/>
      <c r="B41" s="120" t="s">
        <v>233</v>
      </c>
      <c r="C41" s="120">
        <v>76</v>
      </c>
      <c r="D41" s="121" t="s">
        <v>132</v>
      </c>
      <c r="E41" s="121" t="s">
        <v>450</v>
      </c>
      <c r="F41" s="121" t="s">
        <v>449</v>
      </c>
      <c r="G41" s="122" t="s">
        <v>454</v>
      </c>
      <c r="H41" s="121" t="s">
        <v>122</v>
      </c>
      <c r="I41" s="123">
        <v>500</v>
      </c>
      <c r="J41" s="124" t="str">
        <f t="shared" si="13"/>
        <v>Media</v>
      </c>
      <c r="K41" s="125">
        <f t="shared" si="0"/>
        <v>0.6</v>
      </c>
      <c r="L41" s="126" t="s">
        <v>154</v>
      </c>
      <c r="M41" s="125" t="str">
        <f ca="1">IF(NOT(ISERROR(MATCH(L41,_xlfn.ANCHORARRAY(G63),0))),K65&amp;"Por favor no seleccionar los criterios de impacto",L41)</f>
        <v xml:space="preserve">     El riesgo afecta la imagen de de la entidad con efecto publicitario sostenido a nivel de sector administrativo, nivel departamental o municipal</v>
      </c>
      <c r="N41" s="124" t="str">
        <f ca="1">IF(OR(M41='Tabla Impacto'!$C$11,M41='Tabla Impacto'!$D$11),"Leve",IF(OR(M41='Tabla Impacto'!$C$12,M41='Tabla Impacto'!$D$12),"Menor",IF(OR(M41='Tabla Impacto'!$C$13,M41='Tabla Impacto'!$D$13),"Moderado",IF(OR(M41='Tabla Impacto'!$C$14,M41='Tabla Impacto'!$D$14),"Mayor",IF(OR(M41='Tabla Impacto'!$C$15,M41='Tabla Impacto'!$D$15),"Catastrófico","")))))</f>
        <v>Mayor</v>
      </c>
      <c r="O41" s="125">
        <f t="shared" ca="1" si="1"/>
        <v>0.8</v>
      </c>
      <c r="P41" s="127" t="str">
        <f t="shared" ca="1" si="2"/>
        <v>Alto</v>
      </c>
      <c r="Q41" s="128">
        <v>1</v>
      </c>
      <c r="R41" s="138" t="s">
        <v>452</v>
      </c>
      <c r="S41" s="130" t="str">
        <f t="shared" si="3"/>
        <v>Impacto</v>
      </c>
      <c r="T41" s="131" t="s">
        <v>16</v>
      </c>
      <c r="U41" s="131" t="s">
        <v>9</v>
      </c>
      <c r="V41" s="132" t="str">
        <f>IF(AND(T41="Preventivo",U41="Automático"),"50%",IF(AND(T41="Preventivo",U41="Manual"),"40%",IF(AND(T41="Detectivo",U41="Automático"),"40%",IF(AND(T41="Detectivo",U41="Manual"),"30%",IF(AND(T41="Correctivo",U41="Automático"),"35%",IF(AND(T41="Correctivo",U41="Manual"),"25%",""))))))</f>
        <v>25%</v>
      </c>
      <c r="W41" s="131" t="s">
        <v>20</v>
      </c>
      <c r="X41" s="131" t="s">
        <v>22</v>
      </c>
      <c r="Y41" s="131" t="s">
        <v>118</v>
      </c>
      <c r="Z41" s="133">
        <f>IFERROR(IF(S41="Probabilidad",(K41-(+K41*V41)),IF(S41="Impacto",K41,"")),"")</f>
        <v>0.6</v>
      </c>
      <c r="AA41" s="134" t="str">
        <f>IFERROR(IF(Z41="","",IF(Z41&lt;=0.2,"Muy Baja",IF(Z41&lt;=0.4,"Baja",IF(Z41&lt;=0.6,"Media",IF(Z41&lt;=0.8,"Alta","Muy Alta"))))),"")</f>
        <v>Media</v>
      </c>
      <c r="AB41" s="132">
        <f>+Z41</f>
        <v>0.6</v>
      </c>
      <c r="AC41" s="134" t="str">
        <f ca="1">IFERROR(IF(AD41="","",IF(AD41&lt;=0.2,"Leve",IF(AD41&lt;=0.4,"Menor",IF(AD41&lt;=0.6,"Moderado",IF(AD41&lt;=0.8,"Mayor","Catastrófico"))))),"")</f>
        <v>Moderado</v>
      </c>
      <c r="AD41" s="132">
        <f t="shared" ref="AD41" ca="1" si="19">IFERROR(IF(S41="Impacto",(O41-(+O41*V41)),IF(S41="Probabilidad",O41,"")),"")</f>
        <v>0.60000000000000009</v>
      </c>
      <c r="AE41" s="135" t="str">
        <f ca="1">IFERROR(IF(OR(AND(AA41="Muy Baja",AC41="Leve"),AND(AA41="Muy Baja",AC41="Menor"),AND(AA41="Baja",AC41="Leve")),"Bajo",IF(OR(AND(AA41="Muy baja",AC41="Moderado"),AND(AA41="Baja",AC41="Menor"),AND(AA41="Baja",AC41="Moderado"),AND(AA41="Media",AC41="Leve"),AND(AA41="Media",AC41="Menor"),AND(AA41="Media",AC41="Moderado"),AND(AA41="Alta",AC41="Leve"),AND(AA41="Alta",AC41="Menor")),"Moderado",IF(OR(AND(AA41="Muy Baja",AC41="Mayor"),AND(AA41="Baja",AC41="Mayor"),AND(AA41="Media",AC41="Mayor"),AND(AA41="Alta",AC41="Moderado"),AND(AA41="Alta",AC41="Mayor"),AND(AA41="Muy Alta",AC41="Leve"),AND(AA41="Muy Alta",AC41="Menor"),AND(AA41="Muy Alta",AC41="Moderado"),AND(AA41="Muy Alta",AC41="Mayor")),"Alto",IF(OR(AND(AA41="Muy Baja",AC41="Catastrófico"),AND(AA41="Baja",AC41="Catastrófico"),AND(AA41="Media",AC41="Catastrófico"),AND(AA41="Alta",AC41="Catastrófico"),AND(AA41="Muy Alta",AC41="Catastrófico")),"Extremo","")))),"")</f>
        <v>Moderado</v>
      </c>
      <c r="AF41" s="131" t="s">
        <v>134</v>
      </c>
      <c r="AG41" s="138" t="s">
        <v>453</v>
      </c>
      <c r="AH41" s="138"/>
      <c r="AI41" s="138" t="s">
        <v>451</v>
      </c>
      <c r="AJ41" s="141">
        <v>45292</v>
      </c>
      <c r="AK41" s="141">
        <v>45657</v>
      </c>
      <c r="AL41" s="138"/>
      <c r="AM41" s="139"/>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row>
    <row r="42" spans="1:71" ht="151.5" customHeight="1" x14ac:dyDescent="0.3">
      <c r="A42" s="265"/>
      <c r="B42" s="120" t="s">
        <v>233</v>
      </c>
      <c r="C42" s="120">
        <v>57</v>
      </c>
      <c r="D42" s="121" t="s">
        <v>132</v>
      </c>
      <c r="E42" s="121" t="s">
        <v>395</v>
      </c>
      <c r="F42" s="121" t="s">
        <v>396</v>
      </c>
      <c r="G42" s="122" t="s">
        <v>397</v>
      </c>
      <c r="H42" s="121" t="s">
        <v>122</v>
      </c>
      <c r="I42" s="123">
        <v>24</v>
      </c>
      <c r="J42" s="124" t="str">
        <f t="shared" si="13"/>
        <v>Baja</v>
      </c>
      <c r="K42" s="125">
        <f t="shared" si="0"/>
        <v>0.4</v>
      </c>
      <c r="L42" s="126" t="s">
        <v>148</v>
      </c>
      <c r="M42" s="125" t="str">
        <f ca="1">IF(NOT(ISERROR(MATCH(L42,_xlfn.ANCHORARRAY(G63),0))),K65&amp;"Por favor no seleccionar los criterios de impacto",L42)</f>
        <v xml:space="preserve">     Entre 10 y 50 SMLMV </v>
      </c>
      <c r="N42" s="124" t="str">
        <f ca="1">IF(OR(M42='Tabla Impacto'!$C$11,M42='Tabla Impacto'!$D$11),"Leve",IF(OR(M42='Tabla Impacto'!$C$12,M42='Tabla Impacto'!$D$12),"Menor",IF(OR(M42='Tabla Impacto'!$C$13,M42='Tabla Impacto'!$D$13),"Moderado",IF(OR(M42='Tabla Impacto'!$C$14,M42='Tabla Impacto'!$D$14),"Mayor",IF(OR(M42='Tabla Impacto'!$C$15,M42='Tabla Impacto'!$D$15),"Catastrófico","")))))</f>
        <v>Menor</v>
      </c>
      <c r="O42" s="125">
        <f t="shared" ca="1" si="1"/>
        <v>0.4</v>
      </c>
      <c r="P42" s="127" t="str">
        <f t="shared" ca="1" si="2"/>
        <v>Moderado</v>
      </c>
      <c r="Q42" s="128">
        <v>1</v>
      </c>
      <c r="R42" s="136" t="s">
        <v>398</v>
      </c>
      <c r="S42" s="130" t="str">
        <f t="shared" si="3"/>
        <v>Probabilidad</v>
      </c>
      <c r="T42" s="131" t="s">
        <v>14</v>
      </c>
      <c r="U42" s="131" t="s">
        <v>9</v>
      </c>
      <c r="V42" s="132" t="str">
        <f t="shared" si="4"/>
        <v>40%</v>
      </c>
      <c r="W42" s="131" t="s">
        <v>19</v>
      </c>
      <c r="X42" s="131" t="s">
        <v>23</v>
      </c>
      <c r="Y42" s="131" t="s">
        <v>118</v>
      </c>
      <c r="Z42" s="133">
        <f>IFERROR(IF(S42="Probabilidad",(K42-(+K42*V42)),IF(S42="Impacto",K42,"")),"")</f>
        <v>0.24</v>
      </c>
      <c r="AA42" s="134" t="str">
        <f t="shared" si="5"/>
        <v>Baja</v>
      </c>
      <c r="AB42" s="132">
        <f t="shared" si="6"/>
        <v>0.24</v>
      </c>
      <c r="AC42" s="134" t="str">
        <f t="shared" ca="1" si="7"/>
        <v>Menor</v>
      </c>
      <c r="AD42" s="132">
        <f t="shared" ca="1" si="8"/>
        <v>0.4</v>
      </c>
      <c r="AE42" s="135" t="str">
        <f t="shared" ca="1" si="9"/>
        <v>Moderado</v>
      </c>
      <c r="AF42" s="131" t="s">
        <v>31</v>
      </c>
      <c r="AG42" s="138"/>
      <c r="AH42" s="138"/>
      <c r="AI42" s="139"/>
      <c r="AJ42" s="141">
        <v>45292</v>
      </c>
      <c r="AK42" s="141">
        <v>45657</v>
      </c>
      <c r="AL42" s="138"/>
      <c r="AM42" s="139"/>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row>
    <row r="43" spans="1:71" ht="151.5" customHeight="1" x14ac:dyDescent="0.3">
      <c r="A43" s="239" t="s">
        <v>234</v>
      </c>
      <c r="B43" s="120" t="s">
        <v>217</v>
      </c>
      <c r="C43" s="120">
        <v>14</v>
      </c>
      <c r="D43" s="121" t="s">
        <v>132</v>
      </c>
      <c r="E43" s="160" t="s">
        <v>464</v>
      </c>
      <c r="F43" s="160" t="s">
        <v>275</v>
      </c>
      <c r="G43" s="161" t="s">
        <v>276</v>
      </c>
      <c r="H43" s="121" t="s">
        <v>122</v>
      </c>
      <c r="I43" s="123">
        <v>52</v>
      </c>
      <c r="J43" s="124" t="str">
        <f t="shared" si="13"/>
        <v>Media</v>
      </c>
      <c r="K43" s="125">
        <f t="shared" si="0"/>
        <v>0.6</v>
      </c>
      <c r="L43" s="126" t="s">
        <v>147</v>
      </c>
      <c r="M43" s="125" t="str">
        <f ca="1">IF(NOT(ISERROR(MATCH(L43,_xlfn.ANCHORARRAY(G64),0))),K66&amp;"Por favor no seleccionar los criterios de impacto",L43)</f>
        <v xml:space="preserve">     Entre 50 y 100 SMLMV </v>
      </c>
      <c r="N43" s="124" t="str">
        <f ca="1">IF(OR(M43='Tabla Impacto'!$C$11,M43='Tabla Impacto'!$D$11),"Leve",IF(OR(M43='Tabla Impacto'!$C$12,M43='Tabla Impacto'!$D$12),"Menor",IF(OR(M43='Tabla Impacto'!$C$13,M43='Tabla Impacto'!$D$13),"Moderado",IF(OR(M43='Tabla Impacto'!$C$14,M43='Tabla Impacto'!$D$14),"Mayor",IF(OR(M43='Tabla Impacto'!$C$15,M43='Tabla Impacto'!$D$15),"Catastrófico","")))))</f>
        <v>Moderado</v>
      </c>
      <c r="O43" s="125">
        <f t="shared" ca="1" si="1"/>
        <v>0.6</v>
      </c>
      <c r="P43" s="127" t="str">
        <f t="shared" ca="1" si="2"/>
        <v>Moderado</v>
      </c>
      <c r="Q43" s="128">
        <v>1</v>
      </c>
      <c r="R43" s="154" t="s">
        <v>402</v>
      </c>
      <c r="S43" s="130" t="str">
        <f t="shared" si="3"/>
        <v>Probabilidad</v>
      </c>
      <c r="T43" s="131" t="s">
        <v>14</v>
      </c>
      <c r="U43" s="131" t="s">
        <v>9</v>
      </c>
      <c r="V43" s="132" t="str">
        <f t="shared" si="4"/>
        <v>40%</v>
      </c>
      <c r="W43" s="131" t="s">
        <v>19</v>
      </c>
      <c r="X43" s="131" t="s">
        <v>22</v>
      </c>
      <c r="Y43" s="131" t="s">
        <v>118</v>
      </c>
      <c r="Z43" s="133">
        <f t="shared" si="18"/>
        <v>0.36</v>
      </c>
      <c r="AA43" s="134" t="str">
        <f t="shared" si="5"/>
        <v>Baja</v>
      </c>
      <c r="AB43" s="132">
        <f t="shared" si="6"/>
        <v>0.36</v>
      </c>
      <c r="AC43" s="134" t="str">
        <f t="shared" ca="1" si="7"/>
        <v>Moderado</v>
      </c>
      <c r="AD43" s="132">
        <f t="shared" ca="1" si="8"/>
        <v>0.6</v>
      </c>
      <c r="AE43" s="135" t="str">
        <f t="shared" ca="1" si="9"/>
        <v>Moderado</v>
      </c>
      <c r="AF43" s="131" t="s">
        <v>31</v>
      </c>
      <c r="AG43" s="138"/>
      <c r="AH43" s="138"/>
      <c r="AI43" s="139"/>
      <c r="AJ43" s="141">
        <v>45292</v>
      </c>
      <c r="AK43" s="141">
        <v>45657</v>
      </c>
      <c r="AL43" s="138"/>
      <c r="AM43" s="139"/>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row>
    <row r="44" spans="1:71" ht="151.5" customHeight="1" x14ac:dyDescent="0.3">
      <c r="A44" s="240"/>
      <c r="B44" s="120" t="s">
        <v>235</v>
      </c>
      <c r="C44" s="120">
        <v>56</v>
      </c>
      <c r="D44" s="121" t="s">
        <v>132</v>
      </c>
      <c r="E44" s="121" t="s">
        <v>399</v>
      </c>
      <c r="F44" s="121" t="s">
        <v>400</v>
      </c>
      <c r="G44" s="122" t="s">
        <v>401</v>
      </c>
      <c r="H44" s="121" t="s">
        <v>122</v>
      </c>
      <c r="I44" s="123">
        <v>42</v>
      </c>
      <c r="J44" s="124" t="str">
        <f t="shared" si="13"/>
        <v>Media</v>
      </c>
      <c r="K44" s="125">
        <f t="shared" si="0"/>
        <v>0.6</v>
      </c>
      <c r="L44" s="126" t="s">
        <v>147</v>
      </c>
      <c r="M44" s="125" t="str">
        <f ca="1">IF(NOT(ISERROR(MATCH(L44,_xlfn.ANCHORARRAY(G66),0))),K68&amp;"Por favor no seleccionar los criterios de impacto",L44)</f>
        <v xml:space="preserve">     Entre 50 y 100 SMLMV </v>
      </c>
      <c r="N44" s="124" t="str">
        <f ca="1">IF(OR(M44='Tabla Impacto'!$C$11,M44='Tabla Impacto'!$D$11),"Leve",IF(OR(M44='Tabla Impacto'!$C$12,M44='Tabla Impacto'!$D$12),"Menor",IF(OR(M44='Tabla Impacto'!$C$13,M44='Tabla Impacto'!$D$13),"Moderado",IF(OR(M44='Tabla Impacto'!$C$14,M44='Tabla Impacto'!$D$14),"Mayor",IF(OR(M44='Tabla Impacto'!$C$15,M44='Tabla Impacto'!$D$15),"Catastrófico","")))))</f>
        <v>Moderado</v>
      </c>
      <c r="O44" s="125">
        <f ca="1">IF(N44="","",IF(N44="Leve",0.2,IF(N44="Menor",0.4,IF(N44="Moderado",0.6,IF(N44="Mayor",0.8,IF(N44="Catastrófico",1,))))))</f>
        <v>0.6</v>
      </c>
      <c r="P44" s="127" t="str">
        <f ca="1">IF(OR(AND(J44="Muy Baja",N44="Leve"),AND(J44="Muy Baja",N44="Menor"),AND(J44="Baja",N44="Leve")),"Bajo",IF(OR(AND(J44="Muy baja",N44="Moderado"),AND(J44="Baja",N44="Menor"),AND(J44="Baja",N44="Moderado"),AND(J44="Media",N44="Leve"),AND(J44="Media",N44="Menor"),AND(J44="Media",N44="Moderado"),AND(J44="Alta",N44="Leve"),AND(J44="Alta",N44="Menor")),"Moderado",IF(OR(AND(J44="Muy Baja",N44="Mayor"),AND(J44="Baja",N44="Mayor"),AND(J44="Media",N44="Mayor"),AND(J44="Alta",N44="Moderado"),AND(J44="Alta",N44="Mayor"),AND(J44="Muy Alta",N44="Leve"),AND(J44="Muy Alta",N44="Menor"),AND(J44="Muy Alta",N44="Moderado"),AND(J44="Muy Alta",N44="Mayor")),"Alto",IF(OR(AND(J44="Muy Baja",N44="Catastrófico"),AND(J44="Baja",N44="Catastrófico"),AND(J44="Media",N44="Catastrófico"),AND(J44="Alta",N44="Catastrófico"),AND(J44="Muy Alta",N44="Catastrófico")),"Extremo",""))))</f>
        <v>Moderado</v>
      </c>
      <c r="Q44" s="128">
        <v>1</v>
      </c>
      <c r="R44" s="164" t="s">
        <v>403</v>
      </c>
      <c r="S44" s="130" t="str">
        <f t="shared" si="3"/>
        <v>Probabilidad</v>
      </c>
      <c r="T44" s="131" t="s">
        <v>14</v>
      </c>
      <c r="U44" s="131" t="s">
        <v>9</v>
      </c>
      <c r="V44" s="132" t="str">
        <f t="shared" si="4"/>
        <v>40%</v>
      </c>
      <c r="W44" s="131" t="s">
        <v>19</v>
      </c>
      <c r="X44" s="131" t="s">
        <v>22</v>
      </c>
      <c r="Y44" s="131" t="s">
        <v>118</v>
      </c>
      <c r="Z44" s="133">
        <f t="shared" si="18"/>
        <v>0.36</v>
      </c>
      <c r="AA44" s="134" t="str">
        <f t="shared" si="5"/>
        <v>Baja</v>
      </c>
      <c r="AB44" s="132">
        <f t="shared" si="6"/>
        <v>0.36</v>
      </c>
      <c r="AC44" s="134" t="str">
        <f t="shared" ca="1" si="7"/>
        <v>Moderado</v>
      </c>
      <c r="AD44" s="132">
        <f t="shared" ca="1" si="8"/>
        <v>0.6</v>
      </c>
      <c r="AE44" s="135" t="str">
        <f t="shared" ca="1" si="9"/>
        <v>Moderado</v>
      </c>
      <c r="AF44" s="131" t="s">
        <v>134</v>
      </c>
      <c r="AG44" s="138" t="s">
        <v>404</v>
      </c>
      <c r="AH44" s="138"/>
      <c r="AI44" s="139" t="s">
        <v>405</v>
      </c>
      <c r="AJ44" s="141">
        <v>45292</v>
      </c>
      <c r="AK44" s="141">
        <v>45657</v>
      </c>
      <c r="AL44" s="138"/>
      <c r="AM44" s="139"/>
    </row>
    <row r="45" spans="1:71" ht="151.5" customHeight="1" x14ac:dyDescent="0.3">
      <c r="A45" s="271" t="s">
        <v>236</v>
      </c>
      <c r="B45" s="120" t="s">
        <v>236</v>
      </c>
      <c r="C45" s="120">
        <v>58</v>
      </c>
      <c r="D45" s="121" t="s">
        <v>132</v>
      </c>
      <c r="E45" s="121" t="s">
        <v>406</v>
      </c>
      <c r="F45" s="121" t="s">
        <v>407</v>
      </c>
      <c r="G45" s="122" t="s">
        <v>408</v>
      </c>
      <c r="H45" s="121" t="s">
        <v>122</v>
      </c>
      <c r="I45" s="123">
        <v>500</v>
      </c>
      <c r="J45" s="124" t="str">
        <f>IF(I45&lt;=0,"",IF(I45&lt;=2,"Muy Baja",IF(I45&lt;=24,"Baja",IF(I45&lt;=500,"Media",IF(I45&lt;=5000,"Alta","Muy Alta")))))</f>
        <v>Media</v>
      </c>
      <c r="K45" s="125">
        <f>IF(J45="","",IF(J45="Muy Baja",0.2,IF(J45="Baja",0.4,IF(J45="Media",0.6,IF(J45="Alta",0.8,IF(J45="Muy Alta",1,))))))</f>
        <v>0.6</v>
      </c>
      <c r="L45" s="126" t="s">
        <v>147</v>
      </c>
      <c r="M45" s="125" t="str">
        <f ca="1">IF(NOT(ISERROR(MATCH(L45,_xlfn.ANCHORARRAY(G67),0))),K69&amp;"Por favor no seleccionar los criterios de impacto",L45)</f>
        <v xml:space="preserve">     Entre 50 y 100 SMLMV </v>
      </c>
      <c r="N45" s="124" t="str">
        <f ca="1">IF(OR(M45='Tabla Impacto'!$C$11,M45='Tabla Impacto'!$D$11),"Leve",IF(OR(M45='Tabla Impacto'!$C$12,M45='Tabla Impacto'!$D$12),"Menor",IF(OR(M45='Tabla Impacto'!$C$13,M45='Tabla Impacto'!$D$13),"Moderado",IF(OR(M45='Tabla Impacto'!$C$14,M45='Tabla Impacto'!$D$14),"Mayor",IF(OR(M45='Tabla Impacto'!$C$15,M45='Tabla Impacto'!$D$15),"Catastrófico","")))))</f>
        <v>Moderado</v>
      </c>
      <c r="O45" s="125">
        <f ca="1">IF(N45="","",IF(N45="Leve",0.2,IF(N45="Menor",0.4,IF(N45="Moderado",0.6,IF(N45="Mayor",0.8,IF(N45="Catastrófico",1,))))))</f>
        <v>0.6</v>
      </c>
      <c r="P45" s="127" t="str">
        <f ca="1">IF(OR(AND(J45="Muy Baja",N45="Leve"),AND(J45="Muy Baja",N45="Menor"),AND(J45="Baja",N45="Leve")),"Bajo",IF(OR(AND(J45="Muy baja",N45="Moderado"),AND(J45="Baja",N45="Menor"),AND(J45="Baja",N45="Moderado"),AND(J45="Media",N45="Leve"),AND(J45="Media",N45="Menor"),AND(J45="Media",N45="Moderado"),AND(J45="Alta",N45="Leve"),AND(J45="Alta",N45="Menor")),"Moderado",IF(OR(AND(J45="Muy Baja",N45="Mayor"),AND(J45="Baja",N45="Mayor"),AND(J45="Media",N45="Mayor"),AND(J45="Alta",N45="Moderado"),AND(J45="Alta",N45="Mayor"),AND(J45="Muy Alta",N45="Leve"),AND(J45="Muy Alta",N45="Menor"),AND(J45="Muy Alta",N45="Moderado"),AND(J45="Muy Alta",N45="Mayor")),"Alto",IF(OR(AND(J45="Muy Baja",N45="Catastrófico"),AND(J45="Baja",N45="Catastrófico"),AND(J45="Media",N45="Catastrófico"),AND(J45="Alta",N45="Catastrófico"),AND(J45="Muy Alta",N45="Catastrófico")),"Extremo",""))))</f>
        <v>Moderado</v>
      </c>
      <c r="Q45" s="128">
        <v>1</v>
      </c>
      <c r="R45" s="136" t="s">
        <v>415</v>
      </c>
      <c r="S45" s="130" t="str">
        <f t="shared" si="3"/>
        <v>Probabilidad</v>
      </c>
      <c r="T45" s="131" t="s">
        <v>14</v>
      </c>
      <c r="U45" s="131" t="s">
        <v>9</v>
      </c>
      <c r="V45" s="132" t="str">
        <f t="shared" si="4"/>
        <v>40%</v>
      </c>
      <c r="W45" s="131" t="s">
        <v>19</v>
      </c>
      <c r="X45" s="131" t="s">
        <v>22</v>
      </c>
      <c r="Y45" s="131" t="s">
        <v>118</v>
      </c>
      <c r="Z45" s="133">
        <f t="shared" si="18"/>
        <v>0.36</v>
      </c>
      <c r="AA45" s="134" t="str">
        <f t="shared" si="5"/>
        <v>Baja</v>
      </c>
      <c r="AB45" s="132">
        <f t="shared" si="6"/>
        <v>0.36</v>
      </c>
      <c r="AC45" s="134" t="str">
        <f t="shared" ca="1" si="7"/>
        <v>Moderado</v>
      </c>
      <c r="AD45" s="132">
        <f t="shared" ca="1" si="8"/>
        <v>0.6</v>
      </c>
      <c r="AE45" s="135" t="str">
        <f t="shared" ca="1" si="9"/>
        <v>Moderado</v>
      </c>
      <c r="AF45" s="131" t="s">
        <v>134</v>
      </c>
      <c r="AG45" s="138"/>
      <c r="AH45" s="138"/>
      <c r="AI45" s="139"/>
      <c r="AJ45" s="141">
        <v>45292</v>
      </c>
      <c r="AK45" s="141">
        <v>45657</v>
      </c>
      <c r="AL45" s="138"/>
      <c r="AM45" s="139"/>
    </row>
    <row r="46" spans="1:71" ht="241.5" customHeight="1" x14ac:dyDescent="0.3">
      <c r="A46" s="271"/>
      <c r="B46" s="120" t="s">
        <v>236</v>
      </c>
      <c r="C46" s="120">
        <v>59</v>
      </c>
      <c r="D46" s="121" t="s">
        <v>132</v>
      </c>
      <c r="E46" s="121" t="s">
        <v>409</v>
      </c>
      <c r="F46" s="121" t="s">
        <v>410</v>
      </c>
      <c r="G46" s="122" t="s">
        <v>411</v>
      </c>
      <c r="H46" s="121" t="s">
        <v>122</v>
      </c>
      <c r="I46" s="123">
        <v>174</v>
      </c>
      <c r="J46" s="124" t="str">
        <f t="shared" si="13"/>
        <v>Media</v>
      </c>
      <c r="K46" s="125">
        <f t="shared" si="0"/>
        <v>0.6</v>
      </c>
      <c r="L46" s="126" t="s">
        <v>147</v>
      </c>
      <c r="M46" s="125" t="str">
        <f ca="1">IF(NOT(ISERROR(MATCH(L46,_xlfn.ANCHORARRAY(G68),0))),K70&amp;"Por favor no seleccionar los criterios de impacto",L46)</f>
        <v xml:space="preserve">     Entre 50 y 100 SMLMV </v>
      </c>
      <c r="N46" s="124" t="str">
        <f ca="1">IF(OR(M46='Tabla Impacto'!$C$11,M46='Tabla Impacto'!$D$11),"Leve",IF(OR(M46='Tabla Impacto'!$C$12,M46='Tabla Impacto'!$D$12),"Menor",IF(OR(M46='Tabla Impacto'!$C$13,M46='Tabla Impacto'!$D$13),"Moderado",IF(OR(M46='Tabla Impacto'!$C$14,M46='Tabla Impacto'!$D$14),"Mayor",IF(OR(M46='Tabla Impacto'!$C$15,M46='Tabla Impacto'!$D$15),"Catastrófico","")))))</f>
        <v>Moderado</v>
      </c>
      <c r="O46" s="125">
        <f t="shared" ca="1" si="1"/>
        <v>0.6</v>
      </c>
      <c r="P46" s="127" t="str">
        <f t="shared" ca="1" si="2"/>
        <v>Moderado</v>
      </c>
      <c r="Q46" s="128">
        <v>1</v>
      </c>
      <c r="R46" s="164" t="s">
        <v>465</v>
      </c>
      <c r="S46" s="130" t="str">
        <f t="shared" si="3"/>
        <v>Probabilidad</v>
      </c>
      <c r="T46" s="131" t="s">
        <v>14</v>
      </c>
      <c r="U46" s="131" t="s">
        <v>9</v>
      </c>
      <c r="V46" s="132" t="str">
        <f t="shared" si="4"/>
        <v>40%</v>
      </c>
      <c r="W46" s="131" t="s">
        <v>19</v>
      </c>
      <c r="X46" s="131" t="s">
        <v>22</v>
      </c>
      <c r="Y46" s="131" t="s">
        <v>118</v>
      </c>
      <c r="Z46" s="133">
        <f t="shared" si="18"/>
        <v>0.36</v>
      </c>
      <c r="AA46" s="134" t="str">
        <f t="shared" si="5"/>
        <v>Baja</v>
      </c>
      <c r="AB46" s="132">
        <f t="shared" si="6"/>
        <v>0.36</v>
      </c>
      <c r="AC46" s="134" t="str">
        <f t="shared" ca="1" si="7"/>
        <v>Moderado</v>
      </c>
      <c r="AD46" s="132">
        <f t="shared" ca="1" si="8"/>
        <v>0.6</v>
      </c>
      <c r="AE46" s="135" t="str">
        <f t="shared" ca="1" si="9"/>
        <v>Moderado</v>
      </c>
      <c r="AF46" s="131" t="s">
        <v>134</v>
      </c>
      <c r="AG46" s="138" t="s">
        <v>417</v>
      </c>
      <c r="AH46" s="138"/>
      <c r="AI46" s="139" t="s">
        <v>418</v>
      </c>
      <c r="AJ46" s="141">
        <v>45657</v>
      </c>
      <c r="AK46" s="141">
        <v>45657</v>
      </c>
      <c r="AL46" s="138"/>
      <c r="AM46" s="139"/>
    </row>
    <row r="47" spans="1:71" ht="151.5" customHeight="1" x14ac:dyDescent="0.3">
      <c r="A47" s="271"/>
      <c r="B47" s="120" t="s">
        <v>236</v>
      </c>
      <c r="C47" s="120">
        <v>60</v>
      </c>
      <c r="D47" s="121" t="s">
        <v>132</v>
      </c>
      <c r="E47" s="121" t="s">
        <v>412</v>
      </c>
      <c r="F47" s="121" t="s">
        <v>413</v>
      </c>
      <c r="G47" s="122" t="s">
        <v>414</v>
      </c>
      <c r="H47" s="121" t="s">
        <v>122</v>
      </c>
      <c r="I47" s="123">
        <v>360</v>
      </c>
      <c r="J47" s="124" t="str">
        <f t="shared" si="13"/>
        <v>Media</v>
      </c>
      <c r="K47" s="125">
        <f t="shared" si="0"/>
        <v>0.6</v>
      </c>
      <c r="L47" s="126" t="s">
        <v>153</v>
      </c>
      <c r="M47" s="125" t="str">
        <f ca="1">IF(NOT(ISERROR(MATCH(L47,_xlfn.ANCHORARRAY(G69),0))),K71&amp;"Por favor no seleccionar los criterios de impacto",L47)</f>
        <v xml:space="preserve">     El riesgo afecta la imagen de la entidad con algunos usuarios de relevancia frente al logro de los objetivos</v>
      </c>
      <c r="N47" s="124" t="str">
        <f ca="1">IF(OR(M47='Tabla Impacto'!$C$11,M47='Tabla Impacto'!$D$11),"Leve",IF(OR(M47='Tabla Impacto'!$C$12,M47='Tabla Impacto'!$D$12),"Menor",IF(OR(M47='Tabla Impacto'!$C$13,M47='Tabla Impacto'!$D$13),"Moderado",IF(OR(M47='Tabla Impacto'!$C$14,M47='Tabla Impacto'!$D$14),"Mayor",IF(OR(M47='Tabla Impacto'!$C$15,M47='Tabla Impacto'!$D$15),"Catastrófico","")))))</f>
        <v>Moderado</v>
      </c>
      <c r="O47" s="125">
        <f t="shared" ca="1" si="1"/>
        <v>0.6</v>
      </c>
      <c r="P47" s="127" t="str">
        <f t="shared" ca="1" si="2"/>
        <v>Moderado</v>
      </c>
      <c r="Q47" s="128">
        <v>1</v>
      </c>
      <c r="R47" s="164" t="s">
        <v>416</v>
      </c>
      <c r="S47" s="130" t="str">
        <f t="shared" si="3"/>
        <v>Probabilidad</v>
      </c>
      <c r="T47" s="131" t="s">
        <v>14</v>
      </c>
      <c r="U47" s="131" t="s">
        <v>9</v>
      </c>
      <c r="V47" s="132" t="str">
        <f t="shared" si="4"/>
        <v>40%</v>
      </c>
      <c r="W47" s="131" t="s">
        <v>19</v>
      </c>
      <c r="X47" s="131" t="s">
        <v>22</v>
      </c>
      <c r="Y47" s="131" t="s">
        <v>118</v>
      </c>
      <c r="Z47" s="133">
        <f t="shared" si="18"/>
        <v>0.36</v>
      </c>
      <c r="AA47" s="134" t="str">
        <f t="shared" si="5"/>
        <v>Baja</v>
      </c>
      <c r="AB47" s="132">
        <f t="shared" si="6"/>
        <v>0.36</v>
      </c>
      <c r="AC47" s="134" t="str">
        <f t="shared" ca="1" si="7"/>
        <v>Moderado</v>
      </c>
      <c r="AD47" s="132">
        <f t="shared" ca="1" si="8"/>
        <v>0.6</v>
      </c>
      <c r="AE47" s="135" t="str">
        <f t="shared" ca="1" si="9"/>
        <v>Moderado</v>
      </c>
      <c r="AF47" s="131" t="s">
        <v>134</v>
      </c>
      <c r="AG47" s="138" t="s">
        <v>466</v>
      </c>
      <c r="AH47" s="138"/>
      <c r="AI47" s="139" t="s">
        <v>418</v>
      </c>
      <c r="AJ47" s="141">
        <v>45657</v>
      </c>
      <c r="AK47" s="141">
        <v>45657</v>
      </c>
      <c r="AL47" s="138"/>
      <c r="AM47" s="139"/>
    </row>
    <row r="48" spans="1:71" ht="151.5" customHeight="1" x14ac:dyDescent="0.3">
      <c r="A48" s="236" t="s">
        <v>237</v>
      </c>
      <c r="B48" s="120" t="s">
        <v>238</v>
      </c>
      <c r="C48" s="120">
        <v>61</v>
      </c>
      <c r="D48" s="121" t="s">
        <v>132</v>
      </c>
      <c r="E48" s="121" t="s">
        <v>419</v>
      </c>
      <c r="F48" s="121" t="s">
        <v>420</v>
      </c>
      <c r="G48" s="122" t="s">
        <v>421</v>
      </c>
      <c r="H48" s="121" t="s">
        <v>123</v>
      </c>
      <c r="I48" s="123">
        <v>10</v>
      </c>
      <c r="J48" s="124" t="str">
        <f t="shared" si="13"/>
        <v>Baja</v>
      </c>
      <c r="K48" s="125">
        <f t="shared" si="0"/>
        <v>0.4</v>
      </c>
      <c r="L48" s="126" t="s">
        <v>144</v>
      </c>
      <c r="M48" s="125" t="str">
        <f ca="1">IF(NOT(ISERROR(MATCH(L48,_xlfn.ANCHORARRAY(G70),0))),K72&amp;"Por favor no seleccionar los criterios de impacto",L48)</f>
        <v xml:space="preserve">     Afectación menor a 10 SMLMV .</v>
      </c>
      <c r="N48" s="124" t="str">
        <f ca="1">IF(OR(M48='Tabla Impacto'!$C$11,M48='Tabla Impacto'!$D$11),"Leve",IF(OR(M48='Tabla Impacto'!$C$12,M48='Tabla Impacto'!$D$12),"Menor",IF(OR(M48='Tabla Impacto'!$C$13,M48='Tabla Impacto'!$D$13),"Moderado",IF(OR(M48='Tabla Impacto'!$C$14,M48='Tabla Impacto'!$D$14),"Mayor",IF(OR(M48='Tabla Impacto'!$C$15,M48='Tabla Impacto'!$D$15),"Catastrófico","")))))</f>
        <v>Leve</v>
      </c>
      <c r="O48" s="125">
        <f t="shared" ca="1" si="1"/>
        <v>0.2</v>
      </c>
      <c r="P48" s="127" t="str">
        <f t="shared" ca="1" si="2"/>
        <v>Bajo</v>
      </c>
      <c r="Q48" s="128">
        <v>1</v>
      </c>
      <c r="R48" s="169" t="s">
        <v>425</v>
      </c>
      <c r="S48" s="130" t="str">
        <f t="shared" si="3"/>
        <v>Probabilidad</v>
      </c>
      <c r="T48" s="131" t="s">
        <v>14</v>
      </c>
      <c r="U48" s="131" t="s">
        <v>9</v>
      </c>
      <c r="V48" s="132" t="str">
        <f t="shared" si="4"/>
        <v>40%</v>
      </c>
      <c r="W48" s="131" t="s">
        <v>20</v>
      </c>
      <c r="X48" s="131" t="s">
        <v>22</v>
      </c>
      <c r="Y48" s="131" t="s">
        <v>118</v>
      </c>
      <c r="Z48" s="133">
        <f t="shared" si="18"/>
        <v>0.24</v>
      </c>
      <c r="AA48" s="134" t="str">
        <f t="shared" si="5"/>
        <v>Baja</v>
      </c>
      <c r="AB48" s="132">
        <f t="shared" si="6"/>
        <v>0.24</v>
      </c>
      <c r="AC48" s="134" t="str">
        <f t="shared" ca="1" si="7"/>
        <v>Leve</v>
      </c>
      <c r="AD48" s="132">
        <f t="shared" ca="1" si="8"/>
        <v>0.2</v>
      </c>
      <c r="AE48" s="135" t="str">
        <f t="shared" ca="1" si="9"/>
        <v>Bajo</v>
      </c>
      <c r="AF48" s="131" t="s">
        <v>134</v>
      </c>
      <c r="AG48" s="169" t="s">
        <v>427</v>
      </c>
      <c r="AH48" s="169"/>
      <c r="AI48" s="139" t="s">
        <v>429</v>
      </c>
      <c r="AJ48" s="141" t="s">
        <v>477</v>
      </c>
      <c r="AK48" s="141">
        <v>45657</v>
      </c>
      <c r="AL48" s="138"/>
      <c r="AM48" s="139"/>
    </row>
    <row r="49" spans="1:39" ht="151.5" customHeight="1" x14ac:dyDescent="0.3">
      <c r="A49" s="238"/>
      <c r="B49" s="120" t="s">
        <v>238</v>
      </c>
      <c r="C49" s="120">
        <v>62</v>
      </c>
      <c r="D49" s="121" t="s">
        <v>132</v>
      </c>
      <c r="E49" s="121" t="s">
        <v>422</v>
      </c>
      <c r="F49" s="121" t="s">
        <v>423</v>
      </c>
      <c r="G49" s="122" t="s">
        <v>424</v>
      </c>
      <c r="H49" s="121" t="s">
        <v>122</v>
      </c>
      <c r="I49" s="123">
        <v>500</v>
      </c>
      <c r="J49" s="124" t="str">
        <f t="shared" si="13"/>
        <v>Media</v>
      </c>
      <c r="K49" s="125">
        <f t="shared" si="0"/>
        <v>0.6</v>
      </c>
      <c r="L49" s="126" t="s">
        <v>147</v>
      </c>
      <c r="M49" s="125" t="str">
        <f ca="1">IF(NOT(ISERROR(MATCH(L49,_xlfn.ANCHORARRAY(G71),0))),K73&amp;"Por favor no seleccionar los criterios de impacto",L49)</f>
        <v xml:space="preserve">     Entre 50 y 100 SMLMV </v>
      </c>
      <c r="N49" s="124" t="str">
        <f ca="1">IF(OR(M49='Tabla Impacto'!$C$11,M49='Tabla Impacto'!$D$11),"Leve",IF(OR(M49='Tabla Impacto'!$C$12,M49='Tabla Impacto'!$D$12),"Menor",IF(OR(M49='Tabla Impacto'!$C$13,M49='Tabla Impacto'!$D$13),"Moderado",IF(OR(M49='Tabla Impacto'!$C$14,M49='Tabla Impacto'!$D$14),"Mayor",IF(OR(M49='Tabla Impacto'!$C$15,M49='Tabla Impacto'!$D$15),"Catastrófico","")))))</f>
        <v>Moderado</v>
      </c>
      <c r="O49" s="125">
        <f t="shared" ca="1" si="1"/>
        <v>0.6</v>
      </c>
      <c r="P49" s="127" t="str">
        <f t="shared" ca="1" si="2"/>
        <v>Moderado</v>
      </c>
      <c r="Q49" s="128">
        <v>1</v>
      </c>
      <c r="R49" s="169" t="s">
        <v>426</v>
      </c>
      <c r="S49" s="130" t="str">
        <f t="shared" si="3"/>
        <v>Probabilidad</v>
      </c>
      <c r="T49" s="131" t="s">
        <v>14</v>
      </c>
      <c r="U49" s="131" t="s">
        <v>9</v>
      </c>
      <c r="V49" s="132" t="str">
        <f t="shared" si="4"/>
        <v>40%</v>
      </c>
      <c r="W49" s="131" t="s">
        <v>19</v>
      </c>
      <c r="X49" s="131" t="s">
        <v>22</v>
      </c>
      <c r="Y49" s="131" t="s">
        <v>118</v>
      </c>
      <c r="Z49" s="133">
        <f t="shared" si="18"/>
        <v>0.36</v>
      </c>
      <c r="AA49" s="134" t="str">
        <f t="shared" si="5"/>
        <v>Baja</v>
      </c>
      <c r="AB49" s="132">
        <f t="shared" si="6"/>
        <v>0.36</v>
      </c>
      <c r="AC49" s="134" t="str">
        <f t="shared" ca="1" si="7"/>
        <v>Moderado</v>
      </c>
      <c r="AD49" s="132">
        <f t="shared" ca="1" si="8"/>
        <v>0.6</v>
      </c>
      <c r="AE49" s="135" t="str">
        <f t="shared" ca="1" si="9"/>
        <v>Moderado</v>
      </c>
      <c r="AF49" s="131" t="s">
        <v>134</v>
      </c>
      <c r="AG49" s="169" t="s">
        <v>428</v>
      </c>
      <c r="AH49" s="169"/>
      <c r="AI49" s="139" t="s">
        <v>429</v>
      </c>
      <c r="AJ49" s="141" t="s">
        <v>477</v>
      </c>
      <c r="AK49" s="141">
        <v>45657</v>
      </c>
      <c r="AL49" s="138"/>
      <c r="AM49" s="139"/>
    </row>
    <row r="50" spans="1:39" ht="151.5" customHeight="1" x14ac:dyDescent="0.3">
      <c r="A50" s="239" t="s">
        <v>239</v>
      </c>
      <c r="B50" s="183" t="s">
        <v>239</v>
      </c>
      <c r="C50" s="183">
        <v>64</v>
      </c>
      <c r="D50" s="121" t="s">
        <v>130</v>
      </c>
      <c r="E50" s="156" t="s">
        <v>488</v>
      </c>
      <c r="F50" s="156" t="s">
        <v>471</v>
      </c>
      <c r="G50" s="157" t="s">
        <v>470</v>
      </c>
      <c r="H50" s="121" t="s">
        <v>127</v>
      </c>
      <c r="I50" s="123"/>
      <c r="J50" s="124" t="s">
        <v>53</v>
      </c>
      <c r="K50" s="125">
        <v>1</v>
      </c>
      <c r="L50" s="126" t="s">
        <v>154</v>
      </c>
      <c r="M50" s="125" t="s">
        <v>469</v>
      </c>
      <c r="N50" s="124" t="s">
        <v>84</v>
      </c>
      <c r="O50" s="125">
        <v>1</v>
      </c>
      <c r="P50" s="127" t="s">
        <v>78</v>
      </c>
      <c r="Q50" s="128">
        <v>1</v>
      </c>
      <c r="R50" s="169" t="s">
        <v>472</v>
      </c>
      <c r="S50" s="130" t="s">
        <v>2</v>
      </c>
      <c r="T50" s="131" t="s">
        <v>16</v>
      </c>
      <c r="U50" s="131" t="s">
        <v>9</v>
      </c>
      <c r="V50" s="132">
        <v>0.3</v>
      </c>
      <c r="W50" s="131" t="s">
        <v>19</v>
      </c>
      <c r="X50" s="131" t="s">
        <v>22</v>
      </c>
      <c r="Y50" s="131" t="s">
        <v>118</v>
      </c>
      <c r="Z50" s="133">
        <v>0.8</v>
      </c>
      <c r="AA50" s="134" t="s">
        <v>473</v>
      </c>
      <c r="AB50" s="132">
        <v>0.8</v>
      </c>
      <c r="AC50" s="134" t="s">
        <v>474</v>
      </c>
      <c r="AD50" s="132">
        <v>0.8</v>
      </c>
      <c r="AE50" s="135" t="s">
        <v>475</v>
      </c>
      <c r="AF50" s="131" t="s">
        <v>134</v>
      </c>
      <c r="AG50" s="169" t="s">
        <v>476</v>
      </c>
      <c r="AH50" s="169"/>
      <c r="AI50" s="160" t="s">
        <v>439</v>
      </c>
      <c r="AJ50" s="141">
        <v>45292</v>
      </c>
      <c r="AK50" s="141">
        <v>45657</v>
      </c>
      <c r="AL50" s="138"/>
      <c r="AM50" s="139"/>
    </row>
    <row r="51" spans="1:39" ht="151.5" customHeight="1" x14ac:dyDescent="0.3">
      <c r="A51" s="241"/>
      <c r="B51" s="120" t="s">
        <v>239</v>
      </c>
      <c r="C51" s="120">
        <v>65</v>
      </c>
      <c r="D51" s="121" t="s">
        <v>130</v>
      </c>
      <c r="E51" s="160" t="s">
        <v>430</v>
      </c>
      <c r="F51" s="160" t="s">
        <v>431</v>
      </c>
      <c r="G51" s="161" t="s">
        <v>432</v>
      </c>
      <c r="H51" s="121" t="s">
        <v>127</v>
      </c>
      <c r="I51" s="123">
        <v>10000</v>
      </c>
      <c r="J51" s="124" t="str">
        <f t="shared" si="13"/>
        <v>Muy Alta</v>
      </c>
      <c r="K51" s="125">
        <f t="shared" si="0"/>
        <v>1</v>
      </c>
      <c r="L51" s="126" t="s">
        <v>155</v>
      </c>
      <c r="M51" s="125" t="str">
        <f t="shared" ref="M51:M59" ca="1" si="20">IF(NOT(ISERROR(MATCH(L51,_xlfn.ANCHORARRAY(G72),0))),K74&amp;"Por favor no seleccionar los criterios de impacto",L51)</f>
        <v xml:space="preserve">     El riesgo afecta la imagen de la entidad a nivel nacional, con efecto publicitarios sostenible a nivel país</v>
      </c>
      <c r="N51" s="124" t="str">
        <f ca="1">IF(OR(M51='Tabla Impacto'!$C$11,M51='Tabla Impacto'!$D$11),"Leve",IF(OR(M51='Tabla Impacto'!$C$12,M51='Tabla Impacto'!$D$12),"Menor",IF(OR(M51='Tabla Impacto'!$C$13,M51='Tabla Impacto'!$D$13),"Moderado",IF(OR(M51='Tabla Impacto'!$C$14,M51='Tabla Impacto'!$D$14),"Mayor",IF(OR(M51='Tabla Impacto'!$C$15,M51='Tabla Impacto'!$D$15),"Catastrófico","")))))</f>
        <v>Catastrófico</v>
      </c>
      <c r="O51" s="125">
        <f t="shared" ca="1" si="1"/>
        <v>1</v>
      </c>
      <c r="P51" s="127" t="str">
        <f t="shared" ca="1" si="2"/>
        <v>Extremo</v>
      </c>
      <c r="Q51" s="128">
        <v>1</v>
      </c>
      <c r="R51" s="172" t="s">
        <v>436</v>
      </c>
      <c r="S51" s="130" t="str">
        <f t="shared" si="3"/>
        <v>Probabilidad</v>
      </c>
      <c r="T51" s="131" t="s">
        <v>15</v>
      </c>
      <c r="U51" s="131" t="s">
        <v>10</v>
      </c>
      <c r="V51" s="132" t="str">
        <f t="shared" si="4"/>
        <v>40%</v>
      </c>
      <c r="W51" s="131" t="s">
        <v>19</v>
      </c>
      <c r="X51" s="131" t="s">
        <v>22</v>
      </c>
      <c r="Y51" s="131" t="s">
        <v>118</v>
      </c>
      <c r="Z51" s="133">
        <f t="shared" si="18"/>
        <v>0.6</v>
      </c>
      <c r="AA51" s="134" t="str">
        <f t="shared" si="5"/>
        <v>Media</v>
      </c>
      <c r="AB51" s="132">
        <f t="shared" si="6"/>
        <v>0.6</v>
      </c>
      <c r="AC51" s="134" t="str">
        <f t="shared" ca="1" si="7"/>
        <v>Catastrófico</v>
      </c>
      <c r="AD51" s="132">
        <f t="shared" ca="1" si="8"/>
        <v>1</v>
      </c>
      <c r="AE51" s="135" t="str">
        <f t="shared" ca="1" si="9"/>
        <v>Extremo</v>
      </c>
      <c r="AF51" s="131" t="s">
        <v>134</v>
      </c>
      <c r="AG51" s="160" t="s">
        <v>467</v>
      </c>
      <c r="AH51" s="182"/>
      <c r="AI51" s="160" t="s">
        <v>439</v>
      </c>
      <c r="AJ51" s="141">
        <v>45292</v>
      </c>
      <c r="AK51" s="141">
        <v>45657</v>
      </c>
      <c r="AL51" s="138"/>
      <c r="AM51" s="139"/>
    </row>
    <row r="52" spans="1:39" ht="174.75" customHeight="1" x14ac:dyDescent="0.3">
      <c r="A52" s="240"/>
      <c r="B52" s="120" t="s">
        <v>239</v>
      </c>
      <c r="C52" s="120">
        <v>66</v>
      </c>
      <c r="D52" s="121" t="s">
        <v>130</v>
      </c>
      <c r="E52" s="156" t="s">
        <v>433</v>
      </c>
      <c r="F52" s="156" t="s">
        <v>434</v>
      </c>
      <c r="G52" s="157" t="s">
        <v>435</v>
      </c>
      <c r="H52" s="121" t="s">
        <v>127</v>
      </c>
      <c r="I52" s="123">
        <v>60000</v>
      </c>
      <c r="J52" s="124" t="str">
        <f t="shared" si="13"/>
        <v>Muy Alta</v>
      </c>
      <c r="K52" s="125">
        <f t="shared" ref="K52:K59" si="21">IF(J52="","",IF(J52="Muy Baja",0.2,IF(J52="Baja",0.4,IF(J52="Media",0.6,IF(J52="Alta",0.8,IF(J52="Muy Alta",1,))))))</f>
        <v>1</v>
      </c>
      <c r="L52" s="126" t="s">
        <v>155</v>
      </c>
      <c r="M52" s="125" t="str">
        <f t="shared" ca="1" si="20"/>
        <v xml:space="preserve">     El riesgo afecta la imagen de la entidad a nivel nacional, con efecto publicitarios sostenible a nivel país</v>
      </c>
      <c r="N52" s="124" t="str">
        <f ca="1">IF(OR(M52='Tabla Impacto'!$C$11,M52='Tabla Impacto'!$D$11),"Leve",IF(OR(M52='Tabla Impacto'!$C$12,M52='Tabla Impacto'!$D$12),"Menor",IF(OR(M52='Tabla Impacto'!$C$13,M52='Tabla Impacto'!$D$13),"Moderado",IF(OR(M52='Tabla Impacto'!$C$14,M52='Tabla Impacto'!$D$14),"Mayor",IF(OR(M52='Tabla Impacto'!$C$15,M52='Tabla Impacto'!$D$15),"Catastrófico","")))))</f>
        <v>Catastrófico</v>
      </c>
      <c r="O52" s="125">
        <f t="shared" ref="O52:O59" ca="1" si="22">IF(N52="","",IF(N52="Leve",0.2,IF(N52="Menor",0.4,IF(N52="Moderado",0.6,IF(N52="Mayor",0.8,IF(N52="Catastrófico",1,))))))</f>
        <v>1</v>
      </c>
      <c r="P52" s="127" t="str">
        <f t="shared" ref="P52:P59" ca="1" si="23">IF(OR(AND(J52="Muy Baja",N52="Leve"),AND(J52="Muy Baja",N52="Menor"),AND(J52="Baja",N52="Leve")),"Bajo",IF(OR(AND(J52="Muy baja",N52="Moderado"),AND(J52="Baja",N52="Menor"),AND(J52="Baja",N52="Moderado"),AND(J52="Media",N52="Leve"),AND(J52="Media",N52="Menor"),AND(J52="Media",N52="Moderado"),AND(J52="Alta",N52="Leve"),AND(J52="Alta",N52="Menor")),"Moderado",IF(OR(AND(J52="Muy Baja",N52="Mayor"),AND(J52="Baja",N52="Mayor"),AND(J52="Media",N52="Mayor"),AND(J52="Alta",N52="Moderado"),AND(J52="Alta",N52="Mayor"),AND(J52="Muy Alta",N52="Leve"),AND(J52="Muy Alta",N52="Menor"),AND(J52="Muy Alta",N52="Moderado"),AND(J52="Muy Alta",N52="Mayor")),"Alto",IF(OR(AND(J52="Muy Baja",N52="Catastrófico"),AND(J52="Baja",N52="Catastrófico"),AND(J52="Media",N52="Catastrófico"),AND(J52="Alta",N52="Catastrófico"),AND(J52="Muy Alta",N52="Catastrófico")),"Extremo",""))))</f>
        <v>Extremo</v>
      </c>
      <c r="Q52" s="128">
        <v>1</v>
      </c>
      <c r="R52" s="173" t="s">
        <v>437</v>
      </c>
      <c r="S52" s="130" t="str">
        <f t="shared" ref="S52:S59" si="24">IF(OR(T52="Preventivo",T52="Detectivo"),"Probabilidad",IF(T52="Correctivo","Impacto",""))</f>
        <v>Impacto</v>
      </c>
      <c r="T52" s="131" t="s">
        <v>16</v>
      </c>
      <c r="U52" s="131" t="s">
        <v>9</v>
      </c>
      <c r="V52" s="132" t="str">
        <f t="shared" ref="V52" si="25">IF(AND(T52="Preventivo",U52="Automático"),"50%",IF(AND(T52="Preventivo",U52="Manual"),"40%",IF(AND(T52="Detectivo",U52="Automático"),"40%",IF(AND(T52="Detectivo",U52="Manual"),"30%",IF(AND(T52="Correctivo",U52="Automático"),"35%",IF(AND(T52="Correctivo",U52="Manual"),"25%",""))))))</f>
        <v>25%</v>
      </c>
      <c r="W52" s="131" t="s">
        <v>19</v>
      </c>
      <c r="X52" s="131" t="s">
        <v>23</v>
      </c>
      <c r="Y52" s="131" t="s">
        <v>118</v>
      </c>
      <c r="Z52" s="184">
        <v>1</v>
      </c>
      <c r="AA52" s="134" t="str">
        <f t="shared" ref="AA52:AA59" si="26">IFERROR(IF(Z52="","",IF(Z52&lt;=0.2,"Muy Baja",IF(Z52&lt;=0.4,"Baja",IF(Z52&lt;=0.6,"Media",IF(Z52&lt;=0.8,"Alta","Muy Alta"))))),"")</f>
        <v>Muy Alta</v>
      </c>
      <c r="AB52" s="132">
        <f t="shared" ref="AB52:AB59" si="27">+Z52</f>
        <v>1</v>
      </c>
      <c r="AC52" s="134" t="str">
        <f t="shared" ref="AC52:AC59" ca="1" si="28">IFERROR(IF(AD52="","",IF(AD52&lt;=0.2,"Leve",IF(AD52&lt;=0.4,"Menor",IF(AD52&lt;=0.6,"Moderado",IF(AD52&lt;=0.8,"Mayor","Catastrófico"))))),"")</f>
        <v>Mayor</v>
      </c>
      <c r="AD52" s="132">
        <f t="shared" ref="AD52:AD59" ca="1" si="29">IFERROR(IF(S52="Impacto",(O52-(+O52*V52)),IF(S52="Probabilidad",O52,"")),"")</f>
        <v>0.75</v>
      </c>
      <c r="AE52" s="135" t="str">
        <f t="shared" ref="AE52:AE59" ca="1" si="30">IFERROR(IF(OR(AND(AA52="Muy Baja",AC52="Leve"),AND(AA52="Muy Baja",AC52="Menor"),AND(AA52="Baja",AC52="Leve")),"Bajo",IF(OR(AND(AA52="Muy baja",AC52="Moderado"),AND(AA52="Baja",AC52="Menor"),AND(AA52="Baja",AC52="Moderado"),AND(AA52="Media",AC52="Leve"),AND(AA52="Media",AC52="Menor"),AND(AA52="Media",AC52="Moderado"),AND(AA52="Alta",AC52="Leve"),AND(AA52="Alta",AC52="Menor")),"Moderado",IF(OR(AND(AA52="Muy Baja",AC52="Mayor"),AND(AA52="Baja",AC52="Mayor"),AND(AA52="Media",AC52="Mayor"),AND(AA52="Alta",AC52="Moderado"),AND(AA52="Alta",AC52="Mayor"),AND(AA52="Muy Alta",AC52="Leve"),AND(AA52="Muy Alta",AC52="Menor"),AND(AA52="Muy Alta",AC52="Moderado"),AND(AA52="Muy Alta",AC52="Mayor")),"Alto",IF(OR(AND(AA52="Muy Baja",AC52="Catastrófico"),AND(AA52="Baja",AC52="Catastrófico"),AND(AA52="Media",AC52="Catastrófico"),AND(AA52="Alta",AC52="Catastrófico"),AND(AA52="Muy Alta",AC52="Catastrófico")),"Extremo","")))),"")</f>
        <v>Alto</v>
      </c>
      <c r="AF52" s="131" t="s">
        <v>134</v>
      </c>
      <c r="AG52" s="138" t="s">
        <v>438</v>
      </c>
      <c r="AH52" s="163"/>
      <c r="AI52" s="138" t="s">
        <v>439</v>
      </c>
      <c r="AJ52" s="178">
        <v>45292</v>
      </c>
      <c r="AK52" s="141">
        <v>45657</v>
      </c>
      <c r="AL52" s="138"/>
      <c r="AM52" s="139"/>
    </row>
    <row r="53" spans="1:39" ht="88.5" customHeight="1" x14ac:dyDescent="0.3">
      <c r="A53" s="272" t="s">
        <v>240</v>
      </c>
      <c r="B53" s="120" t="s">
        <v>241</v>
      </c>
      <c r="C53" s="239">
        <v>67</v>
      </c>
      <c r="D53" s="267" t="s">
        <v>130</v>
      </c>
      <c r="E53" s="270" t="s">
        <v>440</v>
      </c>
      <c r="F53" s="270" t="s">
        <v>441</v>
      </c>
      <c r="G53" s="262" t="s">
        <v>442</v>
      </c>
      <c r="H53" s="247" t="s">
        <v>122</v>
      </c>
      <c r="I53" s="123">
        <v>200</v>
      </c>
      <c r="J53" s="124" t="str">
        <f t="shared" si="13"/>
        <v>Media</v>
      </c>
      <c r="K53" s="125">
        <f t="shared" si="21"/>
        <v>0.6</v>
      </c>
      <c r="L53" s="126" t="s">
        <v>153</v>
      </c>
      <c r="M53" s="125" t="str">
        <f t="shared" ca="1" si="20"/>
        <v xml:space="preserve">     El riesgo afecta la imagen de la entidad con algunos usuarios de relevancia frente al logro de los objetivos</v>
      </c>
      <c r="N53" s="250" t="str">
        <f ca="1">IF(OR(M53='Tabla Impacto'!$C$11,M53='Tabla Impacto'!$D$11),"Leve",IF(OR(M53='Tabla Impacto'!$C$12,M53='Tabla Impacto'!$D$12),"Menor",IF(OR(M53='Tabla Impacto'!$C$13,M53='Tabla Impacto'!$D$13),"Moderado",IF(OR(M53='Tabla Impacto'!$C$14,M53='Tabla Impacto'!$D$14),"Mayor",IF(OR(M53='Tabla Impacto'!$C$15,M53='Tabla Impacto'!$D$15),"Catastrófico","")))))</f>
        <v>Moderado</v>
      </c>
      <c r="O53" s="253">
        <f t="shared" ca="1" si="22"/>
        <v>0.6</v>
      </c>
      <c r="P53" s="256" t="str">
        <f ca="1">IF(OR(AND(J53="Muy Baja",N53="Leve"),AND(J53="Muy Baja",N53="Menor"),AND(J53="Baja",N53="Leve")),"Bajo",IF(OR(AND(J53="Muy baja",N53="Moderado"),AND(J53="Baja",N53="Menor"),AND(J53="Baja",N53="Moderado"),AND(J53="Media",N53="Leve"),AND(J53="Media",N53="Menor"),AND(J53="Media",N53="Moderado"),AND(J53="Alta",N53="Leve"),AND(J53="Alta",N53="Menor")),"Moderado",IF(OR(AND(J53="Muy Baja",N53="Mayor"),AND(J53="Baja",N53="Mayor"),AND(J53="Media",N53="Mayor"),AND(J53="Alta",N53="Moderado"),AND(J53="Alta",N53="Mayor"),AND(J53="Muy Alta",N53="Leve"),AND(J53="Muy Alta",N53="Menor"),AND(J53="Muy Alta",N53="Moderado"),AND(J53="Muy Alta",N53="Mayor")),"Alto",IF(OR(AND(J53="Muy Baja",N53="Catastrófico"),AND(J53="Baja",N53="Catastrófico"),AND(J53="Media",N53="Catastrófico"),AND(J53="Alta",N53="Catastrófico"),AND(J53="Muy Alta",N53="Catastrófico")),"Extremo",""))))</f>
        <v>Moderado</v>
      </c>
      <c r="Q53" s="128">
        <v>1</v>
      </c>
      <c r="R53" s="165" t="s">
        <v>443</v>
      </c>
      <c r="S53" s="130" t="str">
        <f>IF(OR(T53="Preventivo",T53="Detectivo"),"Probabilidad",IF(T53="Correctivo","Impacto",""))</f>
        <v>Probabilidad</v>
      </c>
      <c r="T53" s="131" t="s">
        <v>15</v>
      </c>
      <c r="U53" s="131" t="s">
        <v>9</v>
      </c>
      <c r="V53" s="132" t="str">
        <f>IF(AND(T53="Preventivo",U53="Automático"),"50%",IF(AND(T53="Preventivo",U53="Manual"),"40%",IF(AND(T53="Detectivo",U53="Automático"),"40%",IF(AND(T53="Detectivo",U53="Manual"),"30%",IF(AND(T53="Correctivo",U53="Automático"),"35%",IF(AND(T53="Correctivo",U53="Manual"),"25%",""))))))</f>
        <v>30%</v>
      </c>
      <c r="W53" s="131" t="s">
        <v>19</v>
      </c>
      <c r="X53" s="131" t="s">
        <v>22</v>
      </c>
      <c r="Y53" s="131" t="s">
        <v>118</v>
      </c>
      <c r="Z53" s="133">
        <f>IFERROR(IF(S53="Probabilidad",(K53-(+K53*V53)),IF(S53="Impacto",K53,"")),"")</f>
        <v>0.42</v>
      </c>
      <c r="AA53" s="134" t="str">
        <f>IFERROR(IF(Z53="","",IF(Z53&lt;=0.2,"Muy Baja",IF(Z53&lt;=0.4,"Baja",IF(Z53&lt;=0.6,"Media",IF(Z53&lt;=0.8,"Alta","Muy Alta"))))),"")</f>
        <v>Media</v>
      </c>
      <c r="AB53" s="132">
        <f t="shared" si="27"/>
        <v>0.42</v>
      </c>
      <c r="AC53" s="134" t="str">
        <f t="shared" ca="1" si="28"/>
        <v>Moderado</v>
      </c>
      <c r="AD53" s="132">
        <f t="shared" ca="1" si="29"/>
        <v>0.6</v>
      </c>
      <c r="AE53" s="135" t="str">
        <f t="shared" ca="1" si="30"/>
        <v>Moderado</v>
      </c>
      <c r="AF53" s="259" t="s">
        <v>31</v>
      </c>
      <c r="AG53" s="138"/>
      <c r="AH53" s="181"/>
      <c r="AI53" s="139"/>
      <c r="AJ53" s="141">
        <v>45292</v>
      </c>
      <c r="AK53" s="141">
        <v>45657</v>
      </c>
      <c r="AL53" s="138"/>
      <c r="AM53" s="139"/>
    </row>
    <row r="54" spans="1:39" ht="87" customHeight="1" x14ac:dyDescent="0.3">
      <c r="A54" s="272"/>
      <c r="B54" s="120" t="s">
        <v>241</v>
      </c>
      <c r="C54" s="241"/>
      <c r="D54" s="268"/>
      <c r="E54" s="270"/>
      <c r="F54" s="270"/>
      <c r="G54" s="262"/>
      <c r="H54" s="248"/>
      <c r="I54" s="123">
        <v>200</v>
      </c>
      <c r="J54" s="124" t="str">
        <f t="shared" si="13"/>
        <v>Media</v>
      </c>
      <c r="K54" s="125">
        <f t="shared" si="21"/>
        <v>0.6</v>
      </c>
      <c r="L54" s="126" t="s">
        <v>153</v>
      </c>
      <c r="M54" s="125" t="str">
        <f t="shared" ca="1" si="20"/>
        <v xml:space="preserve">     El riesgo afecta la imagen de la entidad con algunos usuarios de relevancia frente al logro de los objetivos</v>
      </c>
      <c r="N54" s="251"/>
      <c r="O54" s="254"/>
      <c r="P54" s="257"/>
      <c r="Q54" s="128">
        <v>2</v>
      </c>
      <c r="R54" s="166" t="s">
        <v>444</v>
      </c>
      <c r="S54" s="130" t="str">
        <f t="shared" ref="S54:S58" si="31">IF(OR(T54="Preventivo",T54="Detectivo"),"Probabilidad",IF(T54="Correctivo","Impacto",""))</f>
        <v>Impacto</v>
      </c>
      <c r="T54" s="131" t="s">
        <v>16</v>
      </c>
      <c r="U54" s="131" t="s">
        <v>9</v>
      </c>
      <c r="V54" s="132" t="str">
        <f>IF(AND(T54="Preventivo",U54="Automático"),"50%",IF(AND(T54="Preventivo",U54="Manual"),"40%",IF(AND(T54="Detectivo",U54="Automático"),"40%",IF(AND(T54="Detectivo",U54="Manual"),"30%",IF(AND(T54="Correctivo",U54="Automático"),"35%",IF(AND(T54="Correctivo",U54="Manual"),"25%",""))))))</f>
        <v>25%</v>
      </c>
      <c r="W54" s="131" t="s">
        <v>19</v>
      </c>
      <c r="X54" s="131" t="s">
        <v>23</v>
      </c>
      <c r="Y54" s="131" t="s">
        <v>118</v>
      </c>
      <c r="Z54" s="133">
        <f t="shared" ref="Z54:Z59" si="32">IFERROR(IF(S54="Probabilidad",(K54-(+K54*V54)),IF(S54="Impacto",K54,"")),"")</f>
        <v>0.6</v>
      </c>
      <c r="AA54" s="134" t="str">
        <f>IFERROR(IF(Z54="","",IF(Z54&lt;=0.2,"Muy Baja",IF(Z54&lt;=0.4,"Baja",IF(Z54&lt;=0.6,"Media",IF(Z54&lt;=0.8,"Alta","Muy Alta"))))),"")</f>
        <v>Media</v>
      </c>
      <c r="AB54" s="132">
        <f t="shared" si="27"/>
        <v>0.6</v>
      </c>
      <c r="AC54" s="134" t="str">
        <f t="shared" ref="AC54" si="33">IFERROR(IF(AD54="","",IF(AD54&lt;=0.2,"Leve",IF(AD54&lt;=0.4,"Menor",IF(AD54&lt;=0.6,"Moderado",IF(AD54&lt;=0.8,"Mayor","Catastrófico"))))),"")</f>
        <v>Leve</v>
      </c>
      <c r="AD54" s="132">
        <f t="shared" si="29"/>
        <v>0</v>
      </c>
      <c r="AE54" s="135" t="str">
        <f t="shared" ref="AE54" si="34">IFERROR(IF(OR(AND(AA54="Muy Baja",AC54="Leve"),AND(AA54="Muy Baja",AC54="Menor"),AND(AA54="Baja",AC54="Leve")),"Bajo",IF(OR(AND(AA54="Muy baja",AC54="Moderado"),AND(AA54="Baja",AC54="Menor"),AND(AA54="Baja",AC54="Moderado"),AND(AA54="Media",AC54="Leve"),AND(AA54="Media",AC54="Menor"),AND(AA54="Media",AC54="Moderado"),AND(AA54="Alta",AC54="Leve"),AND(AA54="Alta",AC54="Menor")),"Moderado",IF(OR(AND(AA54="Muy Baja",AC54="Mayor"),AND(AA54="Baja",AC54="Mayor"),AND(AA54="Media",AC54="Mayor"),AND(AA54="Alta",AC54="Moderado"),AND(AA54="Alta",AC54="Mayor"),AND(AA54="Muy Alta",AC54="Leve"),AND(AA54="Muy Alta",AC54="Menor"),AND(AA54="Muy Alta",AC54="Moderado"),AND(AA54="Muy Alta",AC54="Mayor")),"Alto",IF(OR(AND(AA54="Muy Baja",AC54="Catastrófico"),AND(AA54="Baja",AC54="Catastrófico"),AND(AA54="Media",AC54="Catastrófico"),AND(AA54="Alta",AC54="Catastrófico"),AND(AA54="Muy Alta",AC54="Catastrófico")),"Extremo","")))),"")</f>
        <v>Moderado</v>
      </c>
      <c r="AF54" s="260"/>
      <c r="AG54" s="138"/>
      <c r="AH54" s="181"/>
      <c r="AI54" s="139"/>
      <c r="AJ54" s="141">
        <v>45292</v>
      </c>
      <c r="AK54" s="141">
        <v>45657</v>
      </c>
      <c r="AL54" s="138"/>
      <c r="AM54" s="139"/>
    </row>
    <row r="55" spans="1:39" ht="93.75" customHeight="1" x14ac:dyDescent="0.3">
      <c r="A55" s="272"/>
      <c r="B55" s="120" t="s">
        <v>241</v>
      </c>
      <c r="C55" s="241"/>
      <c r="D55" s="268"/>
      <c r="E55" s="270"/>
      <c r="F55" s="270"/>
      <c r="G55" s="262"/>
      <c r="H55" s="248"/>
      <c r="I55" s="123">
        <v>200</v>
      </c>
      <c r="J55" s="124" t="str">
        <f t="shared" si="13"/>
        <v>Media</v>
      </c>
      <c r="K55" s="125">
        <f t="shared" si="21"/>
        <v>0.6</v>
      </c>
      <c r="L55" s="126" t="s">
        <v>153</v>
      </c>
      <c r="M55" s="125" t="str">
        <f t="shared" ca="1" si="20"/>
        <v xml:space="preserve">     El riesgo afecta la imagen de la entidad con algunos usuarios de relevancia frente al logro de los objetivos</v>
      </c>
      <c r="N55" s="251"/>
      <c r="O55" s="254"/>
      <c r="P55" s="257"/>
      <c r="Q55" s="128">
        <v>3</v>
      </c>
      <c r="R55" s="166" t="s">
        <v>445</v>
      </c>
      <c r="S55" s="130" t="str">
        <f t="shared" si="31"/>
        <v>Probabilidad</v>
      </c>
      <c r="T55" s="131" t="s">
        <v>15</v>
      </c>
      <c r="U55" s="131" t="s">
        <v>9</v>
      </c>
      <c r="V55" s="132" t="str">
        <f t="shared" ref="V55:V59" si="35">IF(AND(T55="Preventivo",U55="Automático"),"50%",IF(AND(T55="Preventivo",U55="Manual"),"40%",IF(AND(T55="Detectivo",U55="Automático"),"40%",IF(AND(T55="Detectivo",U55="Manual"),"30%",IF(AND(T55="Correctivo",U55="Automático"),"35%",IF(AND(T55="Correctivo",U55="Manual"),"25%",""))))))</f>
        <v>30%</v>
      </c>
      <c r="W55" s="131" t="s">
        <v>19</v>
      </c>
      <c r="X55" s="131" t="s">
        <v>22</v>
      </c>
      <c r="Y55" s="131" t="s">
        <v>118</v>
      </c>
      <c r="Z55" s="133">
        <f t="shared" si="32"/>
        <v>0.42</v>
      </c>
      <c r="AA55" s="134" t="str">
        <f t="shared" ref="AA55:AA58" si="36">IFERROR(IF(Z55="","",IF(Z55&lt;=0.2,"Muy Baja",IF(Z55&lt;=0.4,"Baja",IF(Z55&lt;=0.6,"Media",IF(Z55&lt;=0.8,"Alta","Muy Alta"))))),"")</f>
        <v>Media</v>
      </c>
      <c r="AB55" s="132">
        <f t="shared" ref="AB55:AB58" si="37">+Z55</f>
        <v>0.42</v>
      </c>
      <c r="AC55" s="134" t="str">
        <f t="shared" ref="AC55:AC58" si="38">IFERROR(IF(AD55="","",IF(AD55&lt;=0.2,"Leve",IF(AD55&lt;=0.4,"Menor",IF(AD55&lt;=0.6,"Moderado",IF(AD55&lt;=0.8,"Mayor","Catastrófico"))))),"")</f>
        <v>Leve</v>
      </c>
      <c r="AD55" s="132">
        <f t="shared" ref="AD55:AD58" si="39">IFERROR(IF(S55="Impacto",(O55-(+O55*V55)),IF(S55="Probabilidad",O55,"")),"")</f>
        <v>0</v>
      </c>
      <c r="AE55" s="135" t="str">
        <f t="shared" ref="AE55:AE58" si="40">IFERROR(IF(OR(AND(AA55="Muy Baja",AC55="Leve"),AND(AA55="Muy Baja",AC55="Menor"),AND(AA55="Baja",AC55="Leve")),"Bajo",IF(OR(AND(AA55="Muy baja",AC55="Moderado"),AND(AA55="Baja",AC55="Menor"),AND(AA55="Baja",AC55="Moderado"),AND(AA55="Media",AC55="Leve"),AND(AA55="Media",AC55="Menor"),AND(AA55="Media",AC55="Moderado"),AND(AA55="Alta",AC55="Leve"),AND(AA55="Alta",AC55="Menor")),"Moderado",IF(OR(AND(AA55="Muy Baja",AC55="Mayor"),AND(AA55="Baja",AC55="Mayor"),AND(AA55="Media",AC55="Mayor"),AND(AA55="Alta",AC55="Moderado"),AND(AA55="Alta",AC55="Mayor"),AND(AA55="Muy Alta",AC55="Leve"),AND(AA55="Muy Alta",AC55="Menor"),AND(AA55="Muy Alta",AC55="Moderado"),AND(AA55="Muy Alta",AC55="Mayor")),"Alto",IF(OR(AND(AA55="Muy Baja",AC55="Catastrófico"),AND(AA55="Baja",AC55="Catastrófico"),AND(AA55="Media",AC55="Catastrófico"),AND(AA55="Alta",AC55="Catastrófico"),AND(AA55="Muy Alta",AC55="Catastrófico")),"Extremo","")))),"")</f>
        <v>Moderado</v>
      </c>
      <c r="AF55" s="260"/>
      <c r="AG55" s="138"/>
      <c r="AH55" s="138"/>
      <c r="AI55" s="139"/>
      <c r="AJ55" s="141">
        <v>45292</v>
      </c>
      <c r="AK55" s="141">
        <v>45657</v>
      </c>
      <c r="AL55" s="138"/>
      <c r="AM55" s="139"/>
    </row>
    <row r="56" spans="1:39" ht="56.25" customHeight="1" x14ac:dyDescent="0.3">
      <c r="A56" s="272"/>
      <c r="B56" s="120" t="s">
        <v>241</v>
      </c>
      <c r="C56" s="241"/>
      <c r="D56" s="268"/>
      <c r="E56" s="270"/>
      <c r="F56" s="270"/>
      <c r="G56" s="262"/>
      <c r="H56" s="248"/>
      <c r="I56" s="123">
        <v>200</v>
      </c>
      <c r="J56" s="124" t="str">
        <f t="shared" si="13"/>
        <v>Media</v>
      </c>
      <c r="K56" s="125">
        <f t="shared" si="21"/>
        <v>0.6</v>
      </c>
      <c r="L56" s="126" t="s">
        <v>153</v>
      </c>
      <c r="M56" s="125" t="str">
        <f t="shared" ca="1" si="20"/>
        <v xml:space="preserve">     El riesgo afecta la imagen de la entidad con algunos usuarios de relevancia frente al logro de los objetivos</v>
      </c>
      <c r="N56" s="251"/>
      <c r="O56" s="254"/>
      <c r="P56" s="257"/>
      <c r="Q56" s="128">
        <v>4</v>
      </c>
      <c r="R56" s="166" t="s">
        <v>446</v>
      </c>
      <c r="S56" s="130" t="str">
        <f t="shared" si="31"/>
        <v>Impacto</v>
      </c>
      <c r="T56" s="131" t="s">
        <v>16</v>
      </c>
      <c r="U56" s="131" t="s">
        <v>9</v>
      </c>
      <c r="V56" s="132" t="str">
        <f t="shared" si="35"/>
        <v>25%</v>
      </c>
      <c r="W56" s="131" t="s">
        <v>19</v>
      </c>
      <c r="X56" s="131" t="s">
        <v>23</v>
      </c>
      <c r="Y56" s="131" t="s">
        <v>118</v>
      </c>
      <c r="Z56" s="133">
        <f t="shared" si="32"/>
        <v>0.6</v>
      </c>
      <c r="AA56" s="134" t="str">
        <f t="shared" si="36"/>
        <v>Media</v>
      </c>
      <c r="AB56" s="132">
        <f t="shared" si="37"/>
        <v>0.6</v>
      </c>
      <c r="AC56" s="134" t="str">
        <f t="shared" si="38"/>
        <v>Leve</v>
      </c>
      <c r="AD56" s="132">
        <f t="shared" si="39"/>
        <v>0</v>
      </c>
      <c r="AE56" s="135" t="str">
        <f t="shared" si="40"/>
        <v>Moderado</v>
      </c>
      <c r="AF56" s="260"/>
      <c r="AG56" s="138"/>
      <c r="AH56" s="138"/>
      <c r="AI56" s="139"/>
      <c r="AJ56" s="141">
        <v>45292</v>
      </c>
      <c r="AK56" s="141">
        <v>45657</v>
      </c>
      <c r="AL56" s="138"/>
      <c r="AM56" s="139"/>
    </row>
    <row r="57" spans="1:39" ht="73.5" customHeight="1" x14ac:dyDescent="0.3">
      <c r="A57" s="272"/>
      <c r="B57" s="120" t="s">
        <v>241</v>
      </c>
      <c r="C57" s="241"/>
      <c r="D57" s="268"/>
      <c r="E57" s="270"/>
      <c r="F57" s="270"/>
      <c r="G57" s="262"/>
      <c r="H57" s="248"/>
      <c r="I57" s="123">
        <v>200</v>
      </c>
      <c r="J57" s="124" t="str">
        <f t="shared" si="13"/>
        <v>Media</v>
      </c>
      <c r="K57" s="125">
        <f t="shared" si="21"/>
        <v>0.6</v>
      </c>
      <c r="L57" s="126" t="s">
        <v>153</v>
      </c>
      <c r="M57" s="125" t="str">
        <f t="shared" ca="1" si="20"/>
        <v xml:space="preserve">     El riesgo afecta la imagen de la entidad con algunos usuarios de relevancia frente al logro de los objetivos</v>
      </c>
      <c r="N57" s="251"/>
      <c r="O57" s="254"/>
      <c r="P57" s="257"/>
      <c r="Q57" s="128">
        <v>5</v>
      </c>
      <c r="R57" s="174" t="s">
        <v>447</v>
      </c>
      <c r="S57" s="130" t="str">
        <f t="shared" si="31"/>
        <v>Probabilidad</v>
      </c>
      <c r="T57" s="131" t="s">
        <v>15</v>
      </c>
      <c r="U57" s="131" t="s">
        <v>9</v>
      </c>
      <c r="V57" s="132" t="str">
        <f t="shared" si="35"/>
        <v>30%</v>
      </c>
      <c r="W57" s="131" t="s">
        <v>19</v>
      </c>
      <c r="X57" s="131" t="s">
        <v>22</v>
      </c>
      <c r="Y57" s="131" t="s">
        <v>118</v>
      </c>
      <c r="Z57" s="133">
        <f t="shared" si="32"/>
        <v>0.42</v>
      </c>
      <c r="AA57" s="134" t="str">
        <f t="shared" si="36"/>
        <v>Media</v>
      </c>
      <c r="AB57" s="132">
        <f t="shared" si="37"/>
        <v>0.42</v>
      </c>
      <c r="AC57" s="134" t="str">
        <f t="shared" si="38"/>
        <v>Leve</v>
      </c>
      <c r="AD57" s="132">
        <f t="shared" si="39"/>
        <v>0</v>
      </c>
      <c r="AE57" s="135" t="str">
        <f t="shared" si="40"/>
        <v>Moderado</v>
      </c>
      <c r="AF57" s="260"/>
      <c r="AG57" s="138"/>
      <c r="AH57" s="138"/>
      <c r="AI57" s="139"/>
      <c r="AJ57" s="141">
        <v>45292</v>
      </c>
      <c r="AK57" s="141">
        <v>45657</v>
      </c>
      <c r="AL57" s="138"/>
      <c r="AM57" s="139"/>
    </row>
    <row r="58" spans="1:39" ht="85.5" customHeight="1" x14ac:dyDescent="0.3">
      <c r="A58" s="272"/>
      <c r="B58" s="120" t="s">
        <v>241</v>
      </c>
      <c r="C58" s="240"/>
      <c r="D58" s="269"/>
      <c r="E58" s="270"/>
      <c r="F58" s="270"/>
      <c r="G58" s="262"/>
      <c r="H58" s="249"/>
      <c r="I58" s="123">
        <v>200</v>
      </c>
      <c r="J58" s="124" t="str">
        <f t="shared" si="13"/>
        <v>Media</v>
      </c>
      <c r="K58" s="125">
        <f t="shared" si="21"/>
        <v>0.6</v>
      </c>
      <c r="L58" s="126" t="s">
        <v>153</v>
      </c>
      <c r="M58" s="125" t="str">
        <f t="shared" ca="1" si="20"/>
        <v xml:space="preserve">     El riesgo afecta la imagen de la entidad con algunos usuarios de relevancia frente al logro de los objetivos</v>
      </c>
      <c r="N58" s="252"/>
      <c r="O58" s="255"/>
      <c r="P58" s="258"/>
      <c r="Q58" s="128">
        <v>6</v>
      </c>
      <c r="R58" s="175" t="s">
        <v>448</v>
      </c>
      <c r="S58" s="130" t="str">
        <f t="shared" si="31"/>
        <v>Probabilidad</v>
      </c>
      <c r="T58" s="131" t="s">
        <v>14</v>
      </c>
      <c r="U58" s="131" t="s">
        <v>9</v>
      </c>
      <c r="V58" s="132" t="str">
        <f t="shared" si="35"/>
        <v>40%</v>
      </c>
      <c r="W58" s="131" t="s">
        <v>19</v>
      </c>
      <c r="X58" s="131" t="s">
        <v>22</v>
      </c>
      <c r="Y58" s="131" t="s">
        <v>118</v>
      </c>
      <c r="Z58" s="133">
        <f t="shared" si="32"/>
        <v>0.36</v>
      </c>
      <c r="AA58" s="134" t="str">
        <f t="shared" si="36"/>
        <v>Baja</v>
      </c>
      <c r="AB58" s="132">
        <f t="shared" si="37"/>
        <v>0.36</v>
      </c>
      <c r="AC58" s="134" t="str">
        <f t="shared" si="38"/>
        <v>Leve</v>
      </c>
      <c r="AD58" s="132">
        <f t="shared" si="39"/>
        <v>0</v>
      </c>
      <c r="AE58" s="135" t="str">
        <f t="shared" si="40"/>
        <v>Bajo</v>
      </c>
      <c r="AF58" s="261"/>
      <c r="AG58" s="138"/>
      <c r="AH58" s="138"/>
      <c r="AI58" s="139"/>
      <c r="AJ58" s="141">
        <v>45292</v>
      </c>
      <c r="AK58" s="141">
        <v>45657</v>
      </c>
      <c r="AL58" s="138"/>
      <c r="AM58" s="139"/>
    </row>
    <row r="59" spans="1:39" ht="151.5" customHeight="1" x14ac:dyDescent="0.3">
      <c r="A59" s="118"/>
      <c r="B59" s="120"/>
      <c r="C59" s="120">
        <v>69</v>
      </c>
      <c r="D59" s="121"/>
      <c r="E59" s="121"/>
      <c r="F59" s="121"/>
      <c r="G59" s="122"/>
      <c r="H59" s="121"/>
      <c r="I59" s="123"/>
      <c r="J59" s="124" t="str">
        <f t="shared" si="13"/>
        <v/>
      </c>
      <c r="K59" s="125" t="str">
        <f t="shared" si="21"/>
        <v/>
      </c>
      <c r="L59" s="126"/>
      <c r="M59" s="125">
        <f t="shared" ca="1" si="20"/>
        <v>0</v>
      </c>
      <c r="N59" s="124" t="str">
        <f ca="1">IF(OR(M59='Tabla Impacto'!$C$11,M59='Tabla Impacto'!$D$11),"Leve",IF(OR(M59='Tabla Impacto'!$C$12,M59='Tabla Impacto'!$D$12),"Menor",IF(OR(M59='Tabla Impacto'!$C$13,M59='Tabla Impacto'!$D$13),"Moderado",IF(OR(M59='Tabla Impacto'!$C$14,M59='Tabla Impacto'!$D$14),"Mayor",IF(OR(M59='Tabla Impacto'!$C$15,M59='Tabla Impacto'!$D$15),"Catastrófico","")))))</f>
        <v/>
      </c>
      <c r="O59" s="125" t="str">
        <f t="shared" ca="1" si="22"/>
        <v/>
      </c>
      <c r="P59" s="127" t="str">
        <f t="shared" ca="1" si="23"/>
        <v/>
      </c>
      <c r="Q59" s="128"/>
      <c r="R59" s="129"/>
      <c r="S59" s="130" t="str">
        <f t="shared" si="24"/>
        <v/>
      </c>
      <c r="T59" s="131"/>
      <c r="U59" s="131"/>
      <c r="V59" s="132" t="str">
        <f t="shared" si="35"/>
        <v/>
      </c>
      <c r="W59" s="131"/>
      <c r="X59" s="131"/>
      <c r="Y59" s="131"/>
      <c r="Z59" s="133" t="str">
        <f t="shared" si="32"/>
        <v/>
      </c>
      <c r="AA59" s="134" t="str">
        <f t="shared" si="26"/>
        <v/>
      </c>
      <c r="AB59" s="132" t="str">
        <f t="shared" si="27"/>
        <v/>
      </c>
      <c r="AC59" s="134" t="str">
        <f t="shared" si="28"/>
        <v/>
      </c>
      <c r="AD59" s="132" t="str">
        <f t="shared" si="29"/>
        <v/>
      </c>
      <c r="AE59" s="135" t="str">
        <f t="shared" si="30"/>
        <v/>
      </c>
      <c r="AF59" s="131"/>
      <c r="AG59" s="138"/>
      <c r="AH59" s="138"/>
      <c r="AI59" s="139"/>
      <c r="AJ59" s="141">
        <v>45292</v>
      </c>
      <c r="AK59" s="141">
        <v>45657</v>
      </c>
      <c r="AL59" s="138"/>
      <c r="AM59" s="139"/>
    </row>
    <row r="60" spans="1:39" ht="49.5" customHeight="1" x14ac:dyDescent="0.3">
      <c r="C60" s="142"/>
      <c r="D60" s="243" t="s">
        <v>129</v>
      </c>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5"/>
    </row>
    <row r="62" spans="1:39" x14ac:dyDescent="0.3">
      <c r="D62" s="22" t="s">
        <v>141</v>
      </c>
      <c r="E62" s="1"/>
      <c r="F62" s="1"/>
      <c r="H62" s="1"/>
    </row>
  </sheetData>
  <autoFilter ref="A5:BS60" xr:uid="{00000000-0001-0000-0100-000000000000}"/>
  <dataConsolidate/>
  <mergeCells count="66">
    <mergeCell ref="C53:C58"/>
    <mergeCell ref="D53:D58"/>
    <mergeCell ref="E53:E58"/>
    <mergeCell ref="F53:F58"/>
    <mergeCell ref="A34:A42"/>
    <mergeCell ref="A43:A44"/>
    <mergeCell ref="A45:A47"/>
    <mergeCell ref="A53:A58"/>
    <mergeCell ref="A48:A49"/>
    <mergeCell ref="A50:A52"/>
    <mergeCell ref="A30:A33"/>
    <mergeCell ref="AI4:AI5"/>
    <mergeCell ref="C1:AM2"/>
    <mergeCell ref="C3:I3"/>
    <mergeCell ref="J3:P3"/>
    <mergeCell ref="Q3:Y3"/>
    <mergeCell ref="Z3:AF3"/>
    <mergeCell ref="AG3:AM3"/>
    <mergeCell ref="AG4:AG5"/>
    <mergeCell ref="AM4:AM5"/>
    <mergeCell ref="AL4:AL5"/>
    <mergeCell ref="AK4:AK5"/>
    <mergeCell ref="AJ4:AJ5"/>
    <mergeCell ref="I4:I5"/>
    <mergeCell ref="AF4:AF5"/>
    <mergeCell ref="Q4:Q5"/>
    <mergeCell ref="AE4:AE5"/>
    <mergeCell ref="D60:AM60"/>
    <mergeCell ref="M36:M37"/>
    <mergeCell ref="M24:M28"/>
    <mergeCell ref="M29:M32"/>
    <mergeCell ref="H53:H58"/>
    <mergeCell ref="N53:N58"/>
    <mergeCell ref="O53:O58"/>
    <mergeCell ref="P53:P58"/>
    <mergeCell ref="AF53:AF58"/>
    <mergeCell ref="G53:G58"/>
    <mergeCell ref="J4:J5"/>
    <mergeCell ref="K4:K5"/>
    <mergeCell ref="N4:N5"/>
    <mergeCell ref="O4:O5"/>
    <mergeCell ref="P4:P5"/>
    <mergeCell ref="L4:L5"/>
    <mergeCell ref="M4:M5"/>
    <mergeCell ref="AD4:AD5"/>
    <mergeCell ref="Z4:Z5"/>
    <mergeCell ref="R4:R5"/>
    <mergeCell ref="AC4:AC5"/>
    <mergeCell ref="AA4:AA5"/>
    <mergeCell ref="AB4:AB5"/>
    <mergeCell ref="T4:Y4"/>
    <mergeCell ref="S4:S5"/>
    <mergeCell ref="M6:M11"/>
    <mergeCell ref="A6:A16"/>
    <mergeCell ref="A18:A19"/>
    <mergeCell ref="A25:A29"/>
    <mergeCell ref="M19:M23"/>
    <mergeCell ref="M12:M16"/>
    <mergeCell ref="M17:M18"/>
    <mergeCell ref="A20:A22"/>
    <mergeCell ref="C4:C5"/>
    <mergeCell ref="H4:H5"/>
    <mergeCell ref="G4:G5"/>
    <mergeCell ref="F4:F5"/>
    <mergeCell ref="E4:E5"/>
    <mergeCell ref="D4:D5"/>
  </mergeCells>
  <conditionalFormatting sqref="J6:J59 AA6:AA59">
    <cfRule type="cellIs" dxfId="27" priority="328" operator="equal">
      <formula>"Muy Alta"</formula>
    </cfRule>
    <cfRule type="cellIs" dxfId="26" priority="329" operator="equal">
      <formula>"Alta"</formula>
    </cfRule>
    <cfRule type="cellIs" dxfId="25" priority="330" operator="equal">
      <formula>"Media"</formula>
    </cfRule>
    <cfRule type="cellIs" dxfId="24" priority="331" operator="equal">
      <formula>"Baja"</formula>
    </cfRule>
    <cfRule type="cellIs" dxfId="23" priority="332" operator="equal">
      <formula>"Muy Baja"</formula>
    </cfRule>
  </conditionalFormatting>
  <conditionalFormatting sqref="M6:M59">
    <cfRule type="containsText" dxfId="22" priority="10" operator="containsText" text="❌">
      <formula>NOT(ISERROR(SEARCH("❌",M6)))</formula>
    </cfRule>
  </conditionalFormatting>
  <conditionalFormatting sqref="N6:N53">
    <cfRule type="cellIs" dxfId="21" priority="5" operator="equal">
      <formula>"Catastrófico"</formula>
    </cfRule>
    <cfRule type="cellIs" dxfId="20" priority="6" operator="equal">
      <formula>"Mayor"</formula>
    </cfRule>
    <cfRule type="cellIs" dxfId="19" priority="7" operator="equal">
      <formula>"Moderado"</formula>
    </cfRule>
    <cfRule type="cellIs" dxfId="18" priority="8" operator="equal">
      <formula>"Menor"</formula>
    </cfRule>
    <cfRule type="cellIs" dxfId="17" priority="9" operator="equal">
      <formula>"Leve"</formula>
    </cfRule>
  </conditionalFormatting>
  <conditionalFormatting sqref="P6:P53">
    <cfRule type="cellIs" dxfId="16" priority="1" operator="equal">
      <formula>"Extremo"</formula>
    </cfRule>
    <cfRule type="cellIs" dxfId="15" priority="2" operator="equal">
      <formula>"Alto"</formula>
    </cfRule>
    <cfRule type="cellIs" dxfId="14" priority="3" operator="equal">
      <formula>"Moderado"</formula>
    </cfRule>
    <cfRule type="cellIs" dxfId="13" priority="4" operator="equal">
      <formula>"Bajo"</formula>
    </cfRule>
  </conditionalFormatting>
  <conditionalFormatting sqref="N59 AC6:AC59">
    <cfRule type="cellIs" dxfId="12" priority="323" operator="equal">
      <formula>"Catastrófico"</formula>
    </cfRule>
    <cfRule type="cellIs" dxfId="11" priority="324" operator="equal">
      <formula>"Mayor"</formula>
    </cfRule>
    <cfRule type="cellIs" dxfId="10" priority="325" operator="equal">
      <formula>"Moderado"</formula>
    </cfRule>
    <cfRule type="cellIs" dxfId="9" priority="326" operator="equal">
      <formula>"Menor"</formula>
    </cfRule>
    <cfRule type="cellIs" dxfId="8" priority="327" operator="equal">
      <formula>"Leve"</formula>
    </cfRule>
  </conditionalFormatting>
  <conditionalFormatting sqref="AE6:AE59 P59">
    <cfRule type="cellIs" dxfId="7" priority="319" operator="equal">
      <formula>"Extremo"</formula>
    </cfRule>
    <cfRule type="cellIs" dxfId="6" priority="320" operator="equal">
      <formula>"Alto"</formula>
    </cfRule>
    <cfRule type="cellIs" dxfId="5" priority="321" operator="equal">
      <formula>"Moderado"</formula>
    </cfRule>
    <cfRule type="cellIs" dxfId="4" priority="322" operator="equal">
      <formula>"Bajo"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AM6:AM7 AM9:AM10 AM12:AM13 AM19:AM20 AM22 AM26:AM27 AM15:AM17 AM29:AM34 AM37:AM42 AM51:AM59 AM24 AM44</xm:sqref>
        </x14:dataValidation>
        <x14:dataValidation type="custom" allowBlank="1" showInputMessage="1" showErrorMessage="1" error="Recuerde que las acciones se generan bajo la medida de mitigar el riesgo" xr:uid="{00000000-0002-0000-0100-000001000000}">
          <x14:formula1>
            <xm:f>IF(OR(Q6='Opciones Tratamiento'!$B$2,Q6='Opciones Tratamiento'!$B$3,Q6='Opciones Tratamiento'!$B$4),ISBLANK(Q6),ISTEXT(Q6))</xm:f>
          </x14:formula1>
          <xm:sqref>AG6:AH17 AG21:AH22 AG45:AH45 AG40:AH43 AG24:AH33 R41 AG53:AG59 AH55:AH59</xm:sqref>
        </x14:dataValidation>
        <x14:dataValidation type="custom" allowBlank="1" showInputMessage="1" showErrorMessage="1" error="Recuerde que las acciones se generan bajo la medida de mitigar el riesgo" xr:uid="{00000000-0002-0000-0100-000002000000}">
          <x14:formula1>
            <xm:f>IF(OR(AF6='Opciones Tratamiento'!$B$2,AF6='Opciones Tratamiento'!$B$3,AF6='Opciones Tratamiento'!$B$4),ISBLANK(AF6),ISTEXT(AF6))</xm:f>
          </x14:formula1>
          <xm:sqref>AI6:AI17 AI40:AI50 AI24:AI38 AI53:AI59 AI21:AI22</xm:sqref>
        </x14:dataValidation>
        <x14:dataValidation type="custom" allowBlank="1" showInputMessage="1" showErrorMessage="1" error="Recuerde que las acciones se generan bajo la medida de mitigar el riesgo" xr:uid="{00000000-0002-0000-0100-000003000000}">
          <x14:formula1>
            <xm:f>IF(OR(AF6='Opciones Tratamiento'!$B$2,AF6='Opciones Tratamiento'!$B$3,AF6='Opciones Tratamiento'!$B$4),ISBLANK(AF6),ISTEXT(AF6))</xm:f>
          </x14:formula1>
          <xm:sqref>AK46:AK50 AK41 AJ6:AJ59</xm:sqref>
        </x14:dataValidation>
        <x14:dataValidation type="custom" allowBlank="1" showInputMessage="1" showErrorMessage="1" error="Recuerde que las acciones se generan bajo la medida de mitigar el riesgo" xr:uid="{00000000-0002-0000-0100-000004000000}">
          <x14:formula1>
            <xm:f>IF(OR(AF6='Opciones Tratamiento'!$B$2,AF6='Opciones Tratamiento'!$B$3,AF6='Opciones Tratamiento'!$B$4),ISBLANK(AF6),ISTEXT(AF6))</xm:f>
          </x14:formula1>
          <xm:sqref>AK51:AK59 AK42:AK45 AK6:AK40</xm:sqref>
        </x14:dataValidation>
        <x14:dataValidation type="list" allowBlank="1" showInputMessage="1" showErrorMessage="1" xr:uid="{00000000-0002-0000-0100-00000A000000}">
          <x14:formula1>
            <xm:f>'Opciones Tratamiento'!$B$13:$B$19</xm:f>
          </x14:formula1>
          <xm:sqref>H59 H6:H53</xm:sqref>
        </x14:dataValidation>
        <x14:dataValidation type="list" allowBlank="1" showInputMessage="1" showErrorMessage="1" xr:uid="{00000000-0002-0000-0100-00000B000000}">
          <x14:formula1>
            <xm:f>'Opciones Tratamiento'!$E$2:$E$4</xm:f>
          </x14:formula1>
          <xm:sqref>D59 D6:D53</xm:sqref>
        </x14:dataValidation>
        <x14:dataValidation type="list" allowBlank="1" showInputMessage="1" showErrorMessage="1" xr:uid="{00000000-0002-0000-0100-00000C000000}">
          <x14:formula1>
            <xm:f>'Opciones Tratamiento'!$B$2:$B$5</xm:f>
          </x14:formula1>
          <xm:sqref>AF59 AF6:AF53</xm:sqref>
        </x14:dataValidation>
        <x14:dataValidation type="list" allowBlank="1" showInputMessage="1" showErrorMessage="1" xr:uid="{00000000-0002-0000-0100-000005000000}">
          <x14:formula1>
            <xm:f>'Tabla Valoración controles'!$D$4:$D$6</xm:f>
          </x14:formula1>
          <xm:sqref>T6:T59</xm:sqref>
        </x14:dataValidation>
        <x14:dataValidation type="list" allowBlank="1" showInputMessage="1" showErrorMessage="1" xr:uid="{00000000-0002-0000-0100-000006000000}">
          <x14:formula1>
            <xm:f>'Tabla Valoración controles'!$D$7:$D$8</xm:f>
          </x14:formula1>
          <xm:sqref>U6:U59</xm:sqref>
        </x14:dataValidation>
        <x14:dataValidation type="list" allowBlank="1" showInputMessage="1" showErrorMessage="1" xr:uid="{00000000-0002-0000-0100-000007000000}">
          <x14:formula1>
            <xm:f>'Tabla Valoración controles'!$D$9:$D$10</xm:f>
          </x14:formula1>
          <xm:sqref>W6:W59</xm:sqref>
        </x14:dataValidation>
        <x14:dataValidation type="list" allowBlank="1" showInputMessage="1" showErrorMessage="1" xr:uid="{00000000-0002-0000-0100-000008000000}">
          <x14:formula1>
            <xm:f>'Tabla Valoración controles'!$D$11:$D$12</xm:f>
          </x14:formula1>
          <xm:sqref>X6:X59</xm:sqref>
        </x14:dataValidation>
        <x14:dataValidation type="list" allowBlank="1" showInputMessage="1" showErrorMessage="1" xr:uid="{00000000-0002-0000-0100-000009000000}">
          <x14:formula1>
            <xm:f>'Tabla Valoración controles'!$D$13:$D$14</xm:f>
          </x14:formula1>
          <xm:sqref>Y6:Y59</xm:sqref>
        </x14:dataValidation>
        <x14:dataValidation type="list" allowBlank="1" showInputMessage="1" showErrorMessage="1" xr:uid="{00000000-0002-0000-0100-00000D000000}">
          <x14:formula1>
            <xm:f>'Tabla Impacto'!$F$210:$F$221</xm:f>
          </x14:formula1>
          <xm:sqref>L6:L59</xm:sqref>
        </x14:dataValidation>
        <x14:dataValidation type="custom" allowBlank="1" showInputMessage="1" showErrorMessage="1" error="Recuerde que las acciones se generan bajo la medida de mitigar el riesgo" xr:uid="{00000000-0002-0000-0100-00000E000000}">
          <x14:formula1>
            <xm:f>IF(OR(AF6='Opciones Tratamiento'!$B$2,AF6='Opciones Tratamiento'!$B$3,AF6='Opciones Tratamiento'!$B$4),ISBLANK(AF6),ISTEXT(AF6))</xm:f>
          </x14:formula1>
          <xm:sqref>AL6:AL59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AO14" sqref="AO14:AT21"/>
    </sheetView>
  </sheetViews>
  <sheetFormatPr baseColWidth="10" defaultRowHeight="14.5" x14ac:dyDescent="0.35"/>
  <cols>
    <col min="2" max="39" width="5.7265625" customWidth="1"/>
    <col min="41" max="46" width="5.7265625" customWidth="1"/>
  </cols>
  <sheetData>
    <row r="1" spans="1:99" x14ac:dyDescent="0.3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row>
    <row r="2" spans="1:99" ht="18" customHeight="1" x14ac:dyDescent="0.35">
      <c r="A2" s="78"/>
      <c r="B2" s="273" t="s">
        <v>159</v>
      </c>
      <c r="C2" s="273"/>
      <c r="D2" s="273"/>
      <c r="E2" s="273"/>
      <c r="F2" s="273"/>
      <c r="G2" s="273"/>
      <c r="H2" s="273"/>
      <c r="I2" s="273"/>
      <c r="J2" s="310" t="s">
        <v>2</v>
      </c>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row>
    <row r="3" spans="1:99" ht="18.75" customHeight="1" x14ac:dyDescent="0.35">
      <c r="A3" s="78"/>
      <c r="B3" s="273"/>
      <c r="C3" s="273"/>
      <c r="D3" s="273"/>
      <c r="E3" s="273"/>
      <c r="F3" s="273"/>
      <c r="G3" s="273"/>
      <c r="H3" s="273"/>
      <c r="I3" s="273"/>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row>
    <row r="4" spans="1:99" ht="15" customHeight="1" x14ac:dyDescent="0.35">
      <c r="A4" s="78"/>
      <c r="B4" s="273"/>
      <c r="C4" s="273"/>
      <c r="D4" s="273"/>
      <c r="E4" s="273"/>
      <c r="F4" s="273"/>
      <c r="G4" s="273"/>
      <c r="H4" s="273"/>
      <c r="I4" s="273"/>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row>
    <row r="5" spans="1:99" ht="15" thickBot="1" x14ac:dyDescent="0.4">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row>
    <row r="6" spans="1:99" ht="15" customHeight="1" x14ac:dyDescent="0.35">
      <c r="A6" s="78"/>
      <c r="B6" s="321" t="s">
        <v>4</v>
      </c>
      <c r="C6" s="321"/>
      <c r="D6" s="322"/>
      <c r="E6" s="311" t="s">
        <v>115</v>
      </c>
      <c r="F6" s="312"/>
      <c r="G6" s="312"/>
      <c r="H6" s="312"/>
      <c r="I6" s="313"/>
      <c r="J6" s="307" t="str">
        <f>IF(AND('Mapa final'!$J$6="Muy Alta",'Mapa final'!$N$6="Leve"),CONCATENATE("R",'Mapa final'!$C$6),"")</f>
        <v/>
      </c>
      <c r="K6" s="308"/>
      <c r="L6" s="308" t="str">
        <f>IF(AND('Mapa final'!$J$12="Muy Alta",'Mapa final'!$N$12="Leve"),CONCATENATE("R",'Mapa final'!$C$12),"")</f>
        <v/>
      </c>
      <c r="M6" s="308"/>
      <c r="N6" s="308" t="e">
        <f>IF(AND('Mapa final'!#REF!="Muy Alta",'Mapa final'!#REF!="Leve"),CONCATENATE("R",'Mapa final'!#REF!),"")</f>
        <v>#REF!</v>
      </c>
      <c r="O6" s="309"/>
      <c r="P6" s="307" t="str">
        <f>IF(AND('Mapa final'!$J$6="Muy Alta",'Mapa final'!$N$6="Menor"),CONCATENATE("R",'Mapa final'!$C$6),"")</f>
        <v/>
      </c>
      <c r="Q6" s="308"/>
      <c r="R6" s="308" t="str">
        <f>IF(AND('Mapa final'!$J$12="Muy Alta",'Mapa final'!$N$12="Menor"),CONCATENATE("R",'Mapa final'!$C$12),"")</f>
        <v/>
      </c>
      <c r="S6" s="308"/>
      <c r="T6" s="308" t="e">
        <f>IF(AND('Mapa final'!#REF!="Muy Alta",'Mapa final'!#REF!="Menor"),CONCATENATE("R",'Mapa final'!#REF!),"")</f>
        <v>#REF!</v>
      </c>
      <c r="U6" s="309"/>
      <c r="V6" s="307" t="str">
        <f>IF(AND('Mapa final'!$J$6="Muy Alta",'Mapa final'!$N$6="Moderado"),CONCATENATE("R",'Mapa final'!$C$6),"")</f>
        <v/>
      </c>
      <c r="W6" s="308"/>
      <c r="X6" s="308" t="str">
        <f>IF(AND('Mapa final'!$J$12="Muy Alta",'Mapa final'!$N$12="Moderado"),CONCATENATE("R",'Mapa final'!$C$12),"")</f>
        <v/>
      </c>
      <c r="Y6" s="308"/>
      <c r="Z6" s="308" t="e">
        <f>IF(AND('Mapa final'!#REF!="Muy Alta",'Mapa final'!#REF!="Moderado"),CONCATENATE("R",'Mapa final'!#REF!),"")</f>
        <v>#REF!</v>
      </c>
      <c r="AA6" s="309"/>
      <c r="AB6" s="307" t="str">
        <f>IF(AND('Mapa final'!$J$6="Muy Alta",'Mapa final'!$N$6="Mayor"),CONCATENATE("R",'Mapa final'!$C$6),"")</f>
        <v/>
      </c>
      <c r="AC6" s="308"/>
      <c r="AD6" s="308" t="str">
        <f>IF(AND('Mapa final'!$J$12="Muy Alta",'Mapa final'!$N$12="Mayor"),CONCATENATE("R",'Mapa final'!$C$12),"")</f>
        <v/>
      </c>
      <c r="AE6" s="308"/>
      <c r="AF6" s="308" t="e">
        <f>IF(AND('Mapa final'!#REF!="Muy Alta",'Mapa final'!#REF!="Mayor"),CONCATENATE("R",'Mapa final'!#REF!),"")</f>
        <v>#REF!</v>
      </c>
      <c r="AG6" s="309"/>
      <c r="AH6" s="298" t="str">
        <f>IF(AND('Mapa final'!$J$6="Muy Alta",'Mapa final'!$N$6="Catastrófico"),CONCATENATE("R",'Mapa final'!$C$6),"")</f>
        <v/>
      </c>
      <c r="AI6" s="299"/>
      <c r="AJ6" s="299" t="str">
        <f>IF(AND('Mapa final'!$J$12="Muy Alta",'Mapa final'!$N$12="Catastrófico"),CONCATENATE("R",'Mapa final'!$C$12),"")</f>
        <v/>
      </c>
      <c r="AK6" s="299"/>
      <c r="AL6" s="299" t="e">
        <f>IF(AND('Mapa final'!#REF!="Muy Alta",'Mapa final'!#REF!="Catastrófico"),CONCATENATE("R",'Mapa final'!#REF!),"")</f>
        <v>#REF!</v>
      </c>
      <c r="AM6" s="300"/>
      <c r="AO6" s="323" t="s">
        <v>78</v>
      </c>
      <c r="AP6" s="324"/>
      <c r="AQ6" s="324"/>
      <c r="AR6" s="324"/>
      <c r="AS6" s="324"/>
      <c r="AT6" s="325"/>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row>
    <row r="7" spans="1:99" ht="15" customHeight="1" x14ac:dyDescent="0.35">
      <c r="A7" s="78"/>
      <c r="B7" s="321"/>
      <c r="C7" s="321"/>
      <c r="D7" s="322"/>
      <c r="E7" s="314"/>
      <c r="F7" s="315"/>
      <c r="G7" s="315"/>
      <c r="H7" s="315"/>
      <c r="I7" s="316"/>
      <c r="J7" s="301"/>
      <c r="K7" s="302"/>
      <c r="L7" s="302"/>
      <c r="M7" s="302"/>
      <c r="N7" s="302"/>
      <c r="O7" s="303"/>
      <c r="P7" s="301"/>
      <c r="Q7" s="302"/>
      <c r="R7" s="302"/>
      <c r="S7" s="302"/>
      <c r="T7" s="302"/>
      <c r="U7" s="303"/>
      <c r="V7" s="301"/>
      <c r="W7" s="302"/>
      <c r="X7" s="302"/>
      <c r="Y7" s="302"/>
      <c r="Z7" s="302"/>
      <c r="AA7" s="303"/>
      <c r="AB7" s="301"/>
      <c r="AC7" s="302"/>
      <c r="AD7" s="302"/>
      <c r="AE7" s="302"/>
      <c r="AF7" s="302"/>
      <c r="AG7" s="303"/>
      <c r="AH7" s="292"/>
      <c r="AI7" s="293"/>
      <c r="AJ7" s="293"/>
      <c r="AK7" s="293"/>
      <c r="AL7" s="293"/>
      <c r="AM7" s="294"/>
      <c r="AN7" s="78"/>
      <c r="AO7" s="326"/>
      <c r="AP7" s="327"/>
      <c r="AQ7" s="327"/>
      <c r="AR7" s="327"/>
      <c r="AS7" s="327"/>
      <c r="AT7" s="32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row>
    <row r="8" spans="1:99" ht="15" customHeight="1" x14ac:dyDescent="0.35">
      <c r="A8" s="78"/>
      <c r="B8" s="321"/>
      <c r="C8" s="321"/>
      <c r="D8" s="322"/>
      <c r="E8" s="314"/>
      <c r="F8" s="315"/>
      <c r="G8" s="315"/>
      <c r="H8" s="315"/>
      <c r="I8" s="316"/>
      <c r="J8" s="301" t="str">
        <f>IF(AND('Mapa final'!$J$19="Muy Alta",'Mapa final'!$N$19="Leve"),CONCATENATE("R",'Mapa final'!$C$19),"")</f>
        <v/>
      </c>
      <c r="K8" s="302"/>
      <c r="L8" s="302" t="e">
        <f>IF(AND('Mapa final'!#REF!="Muy Alta",'Mapa final'!#REF!="Leve"),CONCATENATE("R",'Mapa final'!#REF!),"")</f>
        <v>#REF!</v>
      </c>
      <c r="M8" s="302"/>
      <c r="N8" s="302" t="str">
        <f>IF(AND('Mapa final'!$J$29="Muy Alta",'Mapa final'!$N$29="Leve"),CONCATENATE("R",'Mapa final'!$C$29),"")</f>
        <v/>
      </c>
      <c r="O8" s="303"/>
      <c r="P8" s="301" t="str">
        <f>IF(AND('Mapa final'!$J$19="Muy Alta",'Mapa final'!$N$19="Menor"),CONCATENATE("R",'Mapa final'!$C$19),"")</f>
        <v/>
      </c>
      <c r="Q8" s="302"/>
      <c r="R8" s="302" t="e">
        <f>IF(AND('Mapa final'!#REF!="Muy Alta",'Mapa final'!#REF!="Menor"),CONCATENATE("R",'Mapa final'!#REF!),"")</f>
        <v>#REF!</v>
      </c>
      <c r="S8" s="302"/>
      <c r="T8" s="302" t="str">
        <f>IF(AND('Mapa final'!$J$29="Muy Alta",'Mapa final'!$N$29="Menor"),CONCATENATE("R",'Mapa final'!$C$29),"")</f>
        <v/>
      </c>
      <c r="U8" s="303"/>
      <c r="V8" s="301" t="str">
        <f>IF(AND('Mapa final'!$J$19="Muy Alta",'Mapa final'!$N$19="Moderado"),CONCATENATE("R",'Mapa final'!$C$19),"")</f>
        <v/>
      </c>
      <c r="W8" s="302"/>
      <c r="X8" s="302" t="e">
        <f>IF(AND('Mapa final'!#REF!="Muy Alta",'Mapa final'!#REF!="Moderado"),CONCATENATE("R",'Mapa final'!#REF!),"")</f>
        <v>#REF!</v>
      </c>
      <c r="Y8" s="302"/>
      <c r="Z8" s="302" t="str">
        <f>IF(AND('Mapa final'!$J$29="Muy Alta",'Mapa final'!$N$29="Moderado"),CONCATENATE("R",'Mapa final'!$C$29),"")</f>
        <v/>
      </c>
      <c r="AA8" s="303"/>
      <c r="AB8" s="301" t="str">
        <f>IF(AND('Mapa final'!$J$19="Muy Alta",'Mapa final'!$N$19="Mayor"),CONCATENATE("R",'Mapa final'!$C$19),"")</f>
        <v/>
      </c>
      <c r="AC8" s="302"/>
      <c r="AD8" s="302" t="e">
        <f>IF(AND('Mapa final'!#REF!="Muy Alta",'Mapa final'!#REF!="Mayor"),CONCATENATE("R",'Mapa final'!#REF!),"")</f>
        <v>#REF!</v>
      </c>
      <c r="AE8" s="302"/>
      <c r="AF8" s="302" t="str">
        <f>IF(AND('Mapa final'!$J$29="Muy Alta",'Mapa final'!$N$29="Mayor"),CONCATENATE("R",'Mapa final'!$C$29),"")</f>
        <v/>
      </c>
      <c r="AG8" s="303"/>
      <c r="AH8" s="292" t="str">
        <f>IF(AND('Mapa final'!$J$19="Muy Alta",'Mapa final'!$N$19="Catastrófico"),CONCATENATE("R",'Mapa final'!$C$19),"")</f>
        <v/>
      </c>
      <c r="AI8" s="293"/>
      <c r="AJ8" s="293" t="e">
        <f>IF(AND('Mapa final'!#REF!="Muy Alta",'Mapa final'!#REF!="Catastrófico"),CONCATENATE("R",'Mapa final'!#REF!),"")</f>
        <v>#REF!</v>
      </c>
      <c r="AK8" s="293"/>
      <c r="AL8" s="293" t="str">
        <f>IF(AND('Mapa final'!$J$29="Muy Alta",'Mapa final'!$N$29="Catastrófico"),CONCATENATE("R",'Mapa final'!$C$29),"")</f>
        <v/>
      </c>
      <c r="AM8" s="294"/>
      <c r="AN8" s="78"/>
      <c r="AO8" s="326"/>
      <c r="AP8" s="327"/>
      <c r="AQ8" s="327"/>
      <c r="AR8" s="327"/>
      <c r="AS8" s="327"/>
      <c r="AT8" s="32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row>
    <row r="9" spans="1:99" ht="15" customHeight="1" x14ac:dyDescent="0.35">
      <c r="A9" s="78"/>
      <c r="B9" s="321"/>
      <c r="C9" s="321"/>
      <c r="D9" s="322"/>
      <c r="E9" s="314"/>
      <c r="F9" s="315"/>
      <c r="G9" s="315"/>
      <c r="H9" s="315"/>
      <c r="I9" s="316"/>
      <c r="J9" s="301"/>
      <c r="K9" s="302"/>
      <c r="L9" s="302"/>
      <c r="M9" s="302"/>
      <c r="N9" s="302"/>
      <c r="O9" s="303"/>
      <c r="P9" s="301"/>
      <c r="Q9" s="302"/>
      <c r="R9" s="302"/>
      <c r="S9" s="302"/>
      <c r="T9" s="302"/>
      <c r="U9" s="303"/>
      <c r="V9" s="301"/>
      <c r="W9" s="302"/>
      <c r="X9" s="302"/>
      <c r="Y9" s="302"/>
      <c r="Z9" s="302"/>
      <c r="AA9" s="303"/>
      <c r="AB9" s="301"/>
      <c r="AC9" s="302"/>
      <c r="AD9" s="302"/>
      <c r="AE9" s="302"/>
      <c r="AF9" s="302"/>
      <c r="AG9" s="303"/>
      <c r="AH9" s="292"/>
      <c r="AI9" s="293"/>
      <c r="AJ9" s="293"/>
      <c r="AK9" s="293"/>
      <c r="AL9" s="293"/>
      <c r="AM9" s="294"/>
      <c r="AN9" s="78"/>
      <c r="AO9" s="326"/>
      <c r="AP9" s="327"/>
      <c r="AQ9" s="327"/>
      <c r="AR9" s="327"/>
      <c r="AS9" s="327"/>
      <c r="AT9" s="32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row>
    <row r="10" spans="1:99" ht="15" customHeight="1" x14ac:dyDescent="0.35">
      <c r="A10" s="78"/>
      <c r="B10" s="321"/>
      <c r="C10" s="321"/>
      <c r="D10" s="322"/>
      <c r="E10" s="314"/>
      <c r="F10" s="315"/>
      <c r="G10" s="315"/>
      <c r="H10" s="315"/>
      <c r="I10" s="316"/>
      <c r="J10" s="301" t="e">
        <f>IF(AND('Mapa final'!#REF!="Muy Alta",'Mapa final'!#REF!="Leve"),CONCATENATE("R",'Mapa final'!#REF!),"")</f>
        <v>#REF!</v>
      </c>
      <c r="K10" s="302"/>
      <c r="L10" s="302" t="e">
        <f>IF(AND('Mapa final'!#REF!="Muy Alta",'Mapa final'!#REF!="Leve"),CONCATENATE("R",'Mapa final'!#REF!),"")</f>
        <v>#REF!</v>
      </c>
      <c r="M10" s="302"/>
      <c r="N10" s="302" t="str">
        <f>IF(AND('Mapa final'!$J$38="Muy Alta",'Mapa final'!$N$38="Leve"),CONCATENATE("R",'Mapa final'!$C$38),"")</f>
        <v/>
      </c>
      <c r="O10" s="303"/>
      <c r="P10" s="301" t="e">
        <f>IF(AND('Mapa final'!#REF!="Muy Alta",'Mapa final'!#REF!="Menor"),CONCATENATE("R",'Mapa final'!#REF!),"")</f>
        <v>#REF!</v>
      </c>
      <c r="Q10" s="302"/>
      <c r="R10" s="302" t="e">
        <f>IF(AND('Mapa final'!#REF!="Muy Alta",'Mapa final'!#REF!="Menor"),CONCATENATE("R",'Mapa final'!#REF!),"")</f>
        <v>#REF!</v>
      </c>
      <c r="S10" s="302"/>
      <c r="T10" s="302" t="str">
        <f>IF(AND('Mapa final'!$J$38="Muy Alta",'Mapa final'!$N$38="Menor"),CONCATENATE("R",'Mapa final'!$C$38),"")</f>
        <v/>
      </c>
      <c r="U10" s="303"/>
      <c r="V10" s="301" t="e">
        <f>IF(AND('Mapa final'!#REF!="Muy Alta",'Mapa final'!#REF!="Moderado"),CONCATENATE("R",'Mapa final'!#REF!),"")</f>
        <v>#REF!</v>
      </c>
      <c r="W10" s="302"/>
      <c r="X10" s="302" t="e">
        <f>IF(AND('Mapa final'!#REF!="Muy Alta",'Mapa final'!#REF!="Moderado"),CONCATENATE("R",'Mapa final'!#REF!),"")</f>
        <v>#REF!</v>
      </c>
      <c r="Y10" s="302"/>
      <c r="Z10" s="302" t="str">
        <f>IF(AND('Mapa final'!$J$38="Muy Alta",'Mapa final'!$N$38="Moderado"),CONCATENATE("R",'Mapa final'!$C$38),"")</f>
        <v/>
      </c>
      <c r="AA10" s="303"/>
      <c r="AB10" s="301" t="e">
        <f>IF(AND('Mapa final'!#REF!="Muy Alta",'Mapa final'!#REF!="Mayor"),CONCATENATE("R",'Mapa final'!#REF!),"")</f>
        <v>#REF!</v>
      </c>
      <c r="AC10" s="302"/>
      <c r="AD10" s="302" t="e">
        <f>IF(AND('Mapa final'!#REF!="Muy Alta",'Mapa final'!#REF!="Mayor"),CONCATENATE("R",'Mapa final'!#REF!),"")</f>
        <v>#REF!</v>
      </c>
      <c r="AE10" s="302"/>
      <c r="AF10" s="302" t="str">
        <f>IF(AND('Mapa final'!$J$38="Muy Alta",'Mapa final'!$N$38="Mayor"),CONCATENATE("R",'Mapa final'!$C$38),"")</f>
        <v/>
      </c>
      <c r="AG10" s="303"/>
      <c r="AH10" s="292" t="e">
        <f>IF(AND('Mapa final'!#REF!="Muy Alta",'Mapa final'!#REF!="Catastrófico"),CONCATENATE("R",'Mapa final'!#REF!),"")</f>
        <v>#REF!</v>
      </c>
      <c r="AI10" s="293"/>
      <c r="AJ10" s="293" t="e">
        <f>IF(AND('Mapa final'!#REF!="Muy Alta",'Mapa final'!#REF!="Catastrófico"),CONCATENATE("R",'Mapa final'!#REF!),"")</f>
        <v>#REF!</v>
      </c>
      <c r="AK10" s="293"/>
      <c r="AL10" s="293" t="str">
        <f>IF(AND('Mapa final'!$J$38="Muy Alta",'Mapa final'!$N$38="Catastrófico"),CONCATENATE("R",'Mapa final'!$C$38),"")</f>
        <v/>
      </c>
      <c r="AM10" s="294"/>
      <c r="AN10" s="78"/>
      <c r="AO10" s="326"/>
      <c r="AP10" s="327"/>
      <c r="AQ10" s="327"/>
      <c r="AR10" s="327"/>
      <c r="AS10" s="327"/>
      <c r="AT10" s="32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row>
    <row r="11" spans="1:99" ht="15" customHeight="1" x14ac:dyDescent="0.35">
      <c r="A11" s="78"/>
      <c r="B11" s="321"/>
      <c r="C11" s="321"/>
      <c r="D11" s="322"/>
      <c r="E11" s="314"/>
      <c r="F11" s="315"/>
      <c r="G11" s="315"/>
      <c r="H11" s="315"/>
      <c r="I11" s="316"/>
      <c r="J11" s="301"/>
      <c r="K11" s="302"/>
      <c r="L11" s="302"/>
      <c r="M11" s="302"/>
      <c r="N11" s="302"/>
      <c r="O11" s="303"/>
      <c r="P11" s="301"/>
      <c r="Q11" s="302"/>
      <c r="R11" s="302"/>
      <c r="S11" s="302"/>
      <c r="T11" s="302"/>
      <c r="U11" s="303"/>
      <c r="V11" s="301"/>
      <c r="W11" s="302"/>
      <c r="X11" s="302"/>
      <c r="Y11" s="302"/>
      <c r="Z11" s="302"/>
      <c r="AA11" s="303"/>
      <c r="AB11" s="301"/>
      <c r="AC11" s="302"/>
      <c r="AD11" s="302"/>
      <c r="AE11" s="302"/>
      <c r="AF11" s="302"/>
      <c r="AG11" s="303"/>
      <c r="AH11" s="292"/>
      <c r="AI11" s="293"/>
      <c r="AJ11" s="293"/>
      <c r="AK11" s="293"/>
      <c r="AL11" s="293"/>
      <c r="AM11" s="294"/>
      <c r="AN11" s="78"/>
      <c r="AO11" s="326"/>
      <c r="AP11" s="327"/>
      <c r="AQ11" s="327"/>
      <c r="AR11" s="327"/>
      <c r="AS11" s="327"/>
      <c r="AT11" s="32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row>
    <row r="12" spans="1:99" ht="15" customHeight="1" x14ac:dyDescent="0.35">
      <c r="A12" s="78"/>
      <c r="B12" s="321"/>
      <c r="C12" s="321"/>
      <c r="D12" s="322"/>
      <c r="E12" s="314"/>
      <c r="F12" s="315"/>
      <c r="G12" s="315"/>
      <c r="H12" s="315"/>
      <c r="I12" s="316"/>
      <c r="J12" s="301" t="e">
        <f>IF(AND('Mapa final'!#REF!="Muy Alta",'Mapa final'!#REF!="Leve"),CONCATENATE("R",'Mapa final'!#REF!),"")</f>
        <v>#REF!</v>
      </c>
      <c r="K12" s="302"/>
      <c r="L12" s="302" t="str">
        <f>IF(AND('Mapa final'!$J$60="Muy Alta",'Mapa final'!$N$60="Leve"),CONCATENATE("R",'Mapa final'!$C$60),"")</f>
        <v/>
      </c>
      <c r="M12" s="302"/>
      <c r="N12" s="302" t="str">
        <f>IF(AND('Mapa final'!$J$66="Muy Alta",'Mapa final'!$N$66="Leve"),CONCATENATE("R",'Mapa final'!$C$66),"")</f>
        <v/>
      </c>
      <c r="O12" s="303"/>
      <c r="P12" s="301" t="e">
        <f>IF(AND('Mapa final'!#REF!="Muy Alta",'Mapa final'!#REF!="Menor"),CONCATENATE("R",'Mapa final'!#REF!),"")</f>
        <v>#REF!</v>
      </c>
      <c r="Q12" s="302"/>
      <c r="R12" s="302" t="str">
        <f>IF(AND('Mapa final'!$J$60="Muy Alta",'Mapa final'!$N$60="Menor"),CONCATENATE("R",'Mapa final'!$C$60),"")</f>
        <v/>
      </c>
      <c r="S12" s="302"/>
      <c r="T12" s="302" t="str">
        <f>IF(AND('Mapa final'!$J$66="Muy Alta",'Mapa final'!$N$66="Menor"),CONCATENATE("R",'Mapa final'!$C$66),"")</f>
        <v/>
      </c>
      <c r="U12" s="303"/>
      <c r="V12" s="301" t="e">
        <f>IF(AND('Mapa final'!#REF!="Muy Alta",'Mapa final'!#REF!="Moderado"),CONCATENATE("R",'Mapa final'!#REF!),"")</f>
        <v>#REF!</v>
      </c>
      <c r="W12" s="302"/>
      <c r="X12" s="302" t="str">
        <f>IF(AND('Mapa final'!$J$60="Muy Alta",'Mapa final'!$N$60="Moderado"),CONCATENATE("R",'Mapa final'!$C$60),"")</f>
        <v/>
      </c>
      <c r="Y12" s="302"/>
      <c r="Z12" s="302" t="str">
        <f>IF(AND('Mapa final'!$J$66="Muy Alta",'Mapa final'!$N$66="Moderado"),CONCATENATE("R",'Mapa final'!$C$66),"")</f>
        <v/>
      </c>
      <c r="AA12" s="303"/>
      <c r="AB12" s="301" t="e">
        <f>IF(AND('Mapa final'!#REF!="Muy Alta",'Mapa final'!#REF!="Mayor"),CONCATENATE("R",'Mapa final'!#REF!),"")</f>
        <v>#REF!</v>
      </c>
      <c r="AC12" s="302"/>
      <c r="AD12" s="302" t="str">
        <f>IF(AND('Mapa final'!$J$60="Muy Alta",'Mapa final'!$N$60="Mayor"),CONCATENATE("R",'Mapa final'!$C$60),"")</f>
        <v/>
      </c>
      <c r="AE12" s="302"/>
      <c r="AF12" s="302" t="str">
        <f>IF(AND('Mapa final'!$J$66="Muy Alta",'Mapa final'!$N$66="Mayor"),CONCATENATE("R",'Mapa final'!$C$66),"")</f>
        <v/>
      </c>
      <c r="AG12" s="303"/>
      <c r="AH12" s="292" t="e">
        <f>IF(AND('Mapa final'!#REF!="Muy Alta",'Mapa final'!#REF!="Catastrófico"),CONCATENATE("R",'Mapa final'!#REF!),"")</f>
        <v>#REF!</v>
      </c>
      <c r="AI12" s="293"/>
      <c r="AJ12" s="293" t="str">
        <f>IF(AND('Mapa final'!$J$60="Muy Alta",'Mapa final'!$N$60="Catastrófico"),CONCATENATE("R",'Mapa final'!$C$60),"")</f>
        <v/>
      </c>
      <c r="AK12" s="293"/>
      <c r="AL12" s="293" t="str">
        <f>IF(AND('Mapa final'!$J$66="Muy Alta",'Mapa final'!$N$66="Catastrófico"),CONCATENATE("R",'Mapa final'!$C$66),"")</f>
        <v/>
      </c>
      <c r="AM12" s="294"/>
      <c r="AN12" s="78"/>
      <c r="AO12" s="326"/>
      <c r="AP12" s="327"/>
      <c r="AQ12" s="327"/>
      <c r="AR12" s="327"/>
      <c r="AS12" s="327"/>
      <c r="AT12" s="32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row>
    <row r="13" spans="1:99" ht="15.75" customHeight="1" thickBot="1" x14ac:dyDescent="0.4">
      <c r="A13" s="78"/>
      <c r="B13" s="321"/>
      <c r="C13" s="321"/>
      <c r="D13" s="322"/>
      <c r="E13" s="317"/>
      <c r="F13" s="318"/>
      <c r="G13" s="318"/>
      <c r="H13" s="318"/>
      <c r="I13" s="319"/>
      <c r="J13" s="301"/>
      <c r="K13" s="302"/>
      <c r="L13" s="302"/>
      <c r="M13" s="302"/>
      <c r="N13" s="302"/>
      <c r="O13" s="303"/>
      <c r="P13" s="301"/>
      <c r="Q13" s="302"/>
      <c r="R13" s="302"/>
      <c r="S13" s="302"/>
      <c r="T13" s="302"/>
      <c r="U13" s="303"/>
      <c r="V13" s="301"/>
      <c r="W13" s="302"/>
      <c r="X13" s="302"/>
      <c r="Y13" s="302"/>
      <c r="Z13" s="302"/>
      <c r="AA13" s="303"/>
      <c r="AB13" s="301"/>
      <c r="AC13" s="302"/>
      <c r="AD13" s="302"/>
      <c r="AE13" s="302"/>
      <c r="AF13" s="302"/>
      <c r="AG13" s="303"/>
      <c r="AH13" s="295"/>
      <c r="AI13" s="296"/>
      <c r="AJ13" s="296"/>
      <c r="AK13" s="296"/>
      <c r="AL13" s="296"/>
      <c r="AM13" s="297"/>
      <c r="AN13" s="78"/>
      <c r="AO13" s="329"/>
      <c r="AP13" s="330"/>
      <c r="AQ13" s="330"/>
      <c r="AR13" s="330"/>
      <c r="AS13" s="330"/>
      <c r="AT13" s="331"/>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row>
    <row r="14" spans="1:99" ht="15" customHeight="1" x14ac:dyDescent="0.35">
      <c r="A14" s="78"/>
      <c r="B14" s="321"/>
      <c r="C14" s="321"/>
      <c r="D14" s="322"/>
      <c r="E14" s="311" t="s">
        <v>114</v>
      </c>
      <c r="F14" s="312"/>
      <c r="G14" s="312"/>
      <c r="H14" s="312"/>
      <c r="I14" s="312"/>
      <c r="J14" s="289" t="str">
        <f>IF(AND('Mapa final'!$J$6="Alta",'Mapa final'!$N$6="Leve"),CONCATENATE("R",'Mapa final'!$C$6),"")</f>
        <v/>
      </c>
      <c r="K14" s="290"/>
      <c r="L14" s="290" t="str">
        <f>IF(AND('Mapa final'!$J$12="Alta",'Mapa final'!$N$12="Leve"),CONCATENATE("R",'Mapa final'!$C$12),"")</f>
        <v/>
      </c>
      <c r="M14" s="290"/>
      <c r="N14" s="290" t="e">
        <f>IF(AND('Mapa final'!#REF!="Alta",'Mapa final'!#REF!="Leve"),CONCATENATE("R",'Mapa final'!#REF!),"")</f>
        <v>#REF!</v>
      </c>
      <c r="O14" s="291"/>
      <c r="P14" s="289" t="str">
        <f>IF(AND('Mapa final'!$J$6="Alta",'Mapa final'!$N$6="Menor"),CONCATENATE("R",'Mapa final'!$C$6),"")</f>
        <v/>
      </c>
      <c r="Q14" s="290"/>
      <c r="R14" s="290" t="str">
        <f>IF(AND('Mapa final'!$J$12="Alta",'Mapa final'!$N$12="Menor"),CONCATENATE("R",'Mapa final'!$C$12),"")</f>
        <v/>
      </c>
      <c r="S14" s="290"/>
      <c r="T14" s="290" t="e">
        <f>IF(AND('Mapa final'!#REF!="Alta",'Mapa final'!#REF!="Menor"),CONCATENATE("R",'Mapa final'!#REF!),"")</f>
        <v>#REF!</v>
      </c>
      <c r="U14" s="291"/>
      <c r="V14" s="307" t="str">
        <f>IF(AND('Mapa final'!$J$6="Alta",'Mapa final'!$N$6="Moderado"),CONCATENATE("R",'Mapa final'!$C$6),"")</f>
        <v/>
      </c>
      <c r="W14" s="308"/>
      <c r="X14" s="308" t="str">
        <f>IF(AND('Mapa final'!$J$12="Alta",'Mapa final'!$N$12="Moderado"),CONCATENATE("R",'Mapa final'!$C$12),"")</f>
        <v/>
      </c>
      <c r="Y14" s="308"/>
      <c r="Z14" s="308" t="e">
        <f>IF(AND('Mapa final'!#REF!="Alta",'Mapa final'!#REF!="Moderado"),CONCATENATE("R",'Mapa final'!#REF!),"")</f>
        <v>#REF!</v>
      </c>
      <c r="AA14" s="309"/>
      <c r="AB14" s="307" t="str">
        <f>IF(AND('Mapa final'!$J$6="Alta",'Mapa final'!$N$6="Mayor"),CONCATENATE("R",'Mapa final'!$C$6),"")</f>
        <v/>
      </c>
      <c r="AC14" s="308"/>
      <c r="AD14" s="308" t="str">
        <f>IF(AND('Mapa final'!$J$12="Alta",'Mapa final'!$N$12="Mayor"),CONCATENATE("R",'Mapa final'!$C$12),"")</f>
        <v/>
      </c>
      <c r="AE14" s="308"/>
      <c r="AF14" s="308" t="e">
        <f>IF(AND('Mapa final'!#REF!="Alta",'Mapa final'!#REF!="Mayor"),CONCATENATE("R",'Mapa final'!#REF!),"")</f>
        <v>#REF!</v>
      </c>
      <c r="AG14" s="309"/>
      <c r="AH14" s="298" t="str">
        <f>IF(AND('Mapa final'!$J$6="Alta",'Mapa final'!$N$6="Catastrófico"),CONCATENATE("R",'Mapa final'!$C$6),"")</f>
        <v/>
      </c>
      <c r="AI14" s="299"/>
      <c r="AJ14" s="299" t="str">
        <f>IF(AND('Mapa final'!$J$12="Alta",'Mapa final'!$N$12="Catastrófico"),CONCATENATE("R",'Mapa final'!$C$12),"")</f>
        <v/>
      </c>
      <c r="AK14" s="299"/>
      <c r="AL14" s="299" t="e">
        <f>IF(AND('Mapa final'!#REF!="Alta",'Mapa final'!#REF!="Catastrófico"),CONCATENATE("R",'Mapa final'!#REF!),"")</f>
        <v>#REF!</v>
      </c>
      <c r="AM14" s="300"/>
      <c r="AN14" s="78"/>
      <c r="AO14" s="332" t="s">
        <v>79</v>
      </c>
      <c r="AP14" s="333"/>
      <c r="AQ14" s="333"/>
      <c r="AR14" s="333"/>
      <c r="AS14" s="333"/>
      <c r="AT14" s="334"/>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row>
    <row r="15" spans="1:99" ht="15" customHeight="1" x14ac:dyDescent="0.35">
      <c r="A15" s="78"/>
      <c r="B15" s="321"/>
      <c r="C15" s="321"/>
      <c r="D15" s="322"/>
      <c r="E15" s="314"/>
      <c r="F15" s="315"/>
      <c r="G15" s="315"/>
      <c r="H15" s="315"/>
      <c r="I15" s="315"/>
      <c r="J15" s="283"/>
      <c r="K15" s="284"/>
      <c r="L15" s="284"/>
      <c r="M15" s="284"/>
      <c r="N15" s="284"/>
      <c r="O15" s="285"/>
      <c r="P15" s="283"/>
      <c r="Q15" s="284"/>
      <c r="R15" s="284"/>
      <c r="S15" s="284"/>
      <c r="T15" s="284"/>
      <c r="U15" s="285"/>
      <c r="V15" s="301"/>
      <c r="W15" s="302"/>
      <c r="X15" s="302"/>
      <c r="Y15" s="302"/>
      <c r="Z15" s="302"/>
      <c r="AA15" s="303"/>
      <c r="AB15" s="301"/>
      <c r="AC15" s="302"/>
      <c r="AD15" s="302"/>
      <c r="AE15" s="302"/>
      <c r="AF15" s="302"/>
      <c r="AG15" s="303"/>
      <c r="AH15" s="292"/>
      <c r="AI15" s="293"/>
      <c r="AJ15" s="293"/>
      <c r="AK15" s="293"/>
      <c r="AL15" s="293"/>
      <c r="AM15" s="294"/>
      <c r="AN15" s="78"/>
      <c r="AO15" s="335"/>
      <c r="AP15" s="336"/>
      <c r="AQ15" s="336"/>
      <c r="AR15" s="336"/>
      <c r="AS15" s="336"/>
      <c r="AT15" s="337"/>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row>
    <row r="16" spans="1:99" ht="15" customHeight="1" x14ac:dyDescent="0.35">
      <c r="A16" s="78"/>
      <c r="B16" s="321"/>
      <c r="C16" s="321"/>
      <c r="D16" s="322"/>
      <c r="E16" s="314"/>
      <c r="F16" s="315"/>
      <c r="G16" s="315"/>
      <c r="H16" s="315"/>
      <c r="I16" s="315"/>
      <c r="J16" s="283" t="str">
        <f>IF(AND('Mapa final'!$J$19="Alta",'Mapa final'!$N$19="Leve"),CONCATENATE("R",'Mapa final'!$C$19),"")</f>
        <v/>
      </c>
      <c r="K16" s="284"/>
      <c r="L16" s="284" t="e">
        <f>IF(AND('Mapa final'!#REF!="Alta",'Mapa final'!#REF!="Leve"),CONCATENATE("R",'Mapa final'!#REF!),"")</f>
        <v>#REF!</v>
      </c>
      <c r="M16" s="284"/>
      <c r="N16" s="284" t="str">
        <f>IF(AND('Mapa final'!$J$29="Alta",'Mapa final'!$N$29="Leve"),CONCATENATE("R",'Mapa final'!$C$29),"")</f>
        <v/>
      </c>
      <c r="O16" s="285"/>
      <c r="P16" s="283" t="str">
        <f>IF(AND('Mapa final'!$J$19="Alta",'Mapa final'!$N$19="Menor"),CONCATENATE("R",'Mapa final'!$C$19),"")</f>
        <v/>
      </c>
      <c r="Q16" s="284"/>
      <c r="R16" s="284" t="e">
        <f>IF(AND('Mapa final'!#REF!="Alta",'Mapa final'!#REF!="Menor"),CONCATENATE("R",'Mapa final'!#REF!),"")</f>
        <v>#REF!</v>
      </c>
      <c r="S16" s="284"/>
      <c r="T16" s="284" t="str">
        <f>IF(AND('Mapa final'!$J$29="Alta",'Mapa final'!$N$29="Menor"),CONCATENATE("R",'Mapa final'!$C$29),"")</f>
        <v/>
      </c>
      <c r="U16" s="285"/>
      <c r="V16" s="301" t="str">
        <f>IF(AND('Mapa final'!$J$19="Alta",'Mapa final'!$N$19="Moderado"),CONCATENATE("R",'Mapa final'!$C$19),"")</f>
        <v/>
      </c>
      <c r="W16" s="302"/>
      <c r="X16" s="302" t="e">
        <f>IF(AND('Mapa final'!#REF!="Alta",'Mapa final'!#REF!="Moderado"),CONCATENATE("R",'Mapa final'!#REF!),"")</f>
        <v>#REF!</v>
      </c>
      <c r="Y16" s="302"/>
      <c r="Z16" s="302" t="str">
        <f>IF(AND('Mapa final'!$J$29="Alta",'Mapa final'!$N$29="Moderado"),CONCATENATE("R",'Mapa final'!$C$29),"")</f>
        <v/>
      </c>
      <c r="AA16" s="303"/>
      <c r="AB16" s="301" t="str">
        <f>IF(AND('Mapa final'!$J$19="Alta",'Mapa final'!$N$19="Mayor"),CONCATENATE("R",'Mapa final'!$C$19),"")</f>
        <v>R19</v>
      </c>
      <c r="AC16" s="302"/>
      <c r="AD16" s="302" t="e">
        <f>IF(AND('Mapa final'!#REF!="Alta",'Mapa final'!#REF!="Mayor"),CONCATENATE("R",'Mapa final'!#REF!),"")</f>
        <v>#REF!</v>
      </c>
      <c r="AE16" s="302"/>
      <c r="AF16" s="302" t="str">
        <f>IF(AND('Mapa final'!$J$29="Alta",'Mapa final'!$N$29="Mayor"),CONCATENATE("R",'Mapa final'!$C$29),"")</f>
        <v/>
      </c>
      <c r="AG16" s="303"/>
      <c r="AH16" s="292" t="str">
        <f>IF(AND('Mapa final'!$J$19="Alta",'Mapa final'!$N$19="Catastrófico"),CONCATENATE("R",'Mapa final'!$C$19),"")</f>
        <v/>
      </c>
      <c r="AI16" s="293"/>
      <c r="AJ16" s="293" t="e">
        <f>IF(AND('Mapa final'!#REF!="Alta",'Mapa final'!#REF!="Catastrófico"),CONCATENATE("R",'Mapa final'!#REF!),"")</f>
        <v>#REF!</v>
      </c>
      <c r="AK16" s="293"/>
      <c r="AL16" s="293" t="str">
        <f>IF(AND('Mapa final'!$J$29="Alta",'Mapa final'!$N$29="Catastrófico"),CONCATENATE("R",'Mapa final'!$C$29),"")</f>
        <v/>
      </c>
      <c r="AM16" s="294"/>
      <c r="AN16" s="78"/>
      <c r="AO16" s="335"/>
      <c r="AP16" s="336"/>
      <c r="AQ16" s="336"/>
      <c r="AR16" s="336"/>
      <c r="AS16" s="336"/>
      <c r="AT16" s="337"/>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row>
    <row r="17" spans="1:80" ht="15" customHeight="1" x14ac:dyDescent="0.35">
      <c r="A17" s="78"/>
      <c r="B17" s="321"/>
      <c r="C17" s="321"/>
      <c r="D17" s="322"/>
      <c r="E17" s="314"/>
      <c r="F17" s="315"/>
      <c r="G17" s="315"/>
      <c r="H17" s="315"/>
      <c r="I17" s="315"/>
      <c r="J17" s="283"/>
      <c r="K17" s="284"/>
      <c r="L17" s="284"/>
      <c r="M17" s="284"/>
      <c r="N17" s="284"/>
      <c r="O17" s="285"/>
      <c r="P17" s="283"/>
      <c r="Q17" s="284"/>
      <c r="R17" s="284"/>
      <c r="S17" s="284"/>
      <c r="T17" s="284"/>
      <c r="U17" s="285"/>
      <c r="V17" s="301"/>
      <c r="W17" s="302"/>
      <c r="X17" s="302"/>
      <c r="Y17" s="302"/>
      <c r="Z17" s="302"/>
      <c r="AA17" s="303"/>
      <c r="AB17" s="301"/>
      <c r="AC17" s="302"/>
      <c r="AD17" s="302"/>
      <c r="AE17" s="302"/>
      <c r="AF17" s="302"/>
      <c r="AG17" s="303"/>
      <c r="AH17" s="292"/>
      <c r="AI17" s="293"/>
      <c r="AJ17" s="293"/>
      <c r="AK17" s="293"/>
      <c r="AL17" s="293"/>
      <c r="AM17" s="294"/>
      <c r="AN17" s="78"/>
      <c r="AO17" s="335"/>
      <c r="AP17" s="336"/>
      <c r="AQ17" s="336"/>
      <c r="AR17" s="336"/>
      <c r="AS17" s="336"/>
      <c r="AT17" s="337"/>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row>
    <row r="18" spans="1:80" ht="15" customHeight="1" x14ac:dyDescent="0.35">
      <c r="A18" s="78"/>
      <c r="B18" s="321"/>
      <c r="C18" s="321"/>
      <c r="D18" s="322"/>
      <c r="E18" s="314"/>
      <c r="F18" s="315"/>
      <c r="G18" s="315"/>
      <c r="H18" s="315"/>
      <c r="I18" s="315"/>
      <c r="J18" s="283" t="e">
        <f>IF(AND('Mapa final'!#REF!="Alta",'Mapa final'!#REF!="Leve"),CONCATENATE("R",'Mapa final'!#REF!),"")</f>
        <v>#REF!</v>
      </c>
      <c r="K18" s="284"/>
      <c r="L18" s="284" t="e">
        <f>IF(AND('Mapa final'!#REF!="Alta",'Mapa final'!#REF!="Leve"),CONCATENATE("R",'Mapa final'!#REF!),"")</f>
        <v>#REF!</v>
      </c>
      <c r="M18" s="284"/>
      <c r="N18" s="284" t="str">
        <f>IF(AND('Mapa final'!$J$38="Alta",'Mapa final'!$N$38="Leve"),CONCATENATE("R",'Mapa final'!$C$38),"")</f>
        <v/>
      </c>
      <c r="O18" s="285"/>
      <c r="P18" s="283" t="e">
        <f>IF(AND('Mapa final'!#REF!="Alta",'Mapa final'!#REF!="Menor"),CONCATENATE("R",'Mapa final'!#REF!),"")</f>
        <v>#REF!</v>
      </c>
      <c r="Q18" s="284"/>
      <c r="R18" s="284" t="e">
        <f>IF(AND('Mapa final'!#REF!="Alta",'Mapa final'!#REF!="Menor"),CONCATENATE("R",'Mapa final'!#REF!),"")</f>
        <v>#REF!</v>
      </c>
      <c r="S18" s="284"/>
      <c r="T18" s="284" t="str">
        <f>IF(AND('Mapa final'!$J$38="Alta",'Mapa final'!$N$38="Menor"),CONCATENATE("R",'Mapa final'!$C$38),"")</f>
        <v/>
      </c>
      <c r="U18" s="285"/>
      <c r="V18" s="301" t="e">
        <f>IF(AND('Mapa final'!#REF!="Alta",'Mapa final'!#REF!="Moderado"),CONCATENATE("R",'Mapa final'!#REF!),"")</f>
        <v>#REF!</v>
      </c>
      <c r="W18" s="302"/>
      <c r="X18" s="302" t="e">
        <f>IF(AND('Mapa final'!#REF!="Alta",'Mapa final'!#REF!="Moderado"),CONCATENATE("R",'Mapa final'!#REF!),"")</f>
        <v>#REF!</v>
      </c>
      <c r="Y18" s="302"/>
      <c r="Z18" s="302" t="str">
        <f>IF(AND('Mapa final'!$J$38="Alta",'Mapa final'!$N$38="Moderado"),CONCATENATE("R",'Mapa final'!$C$38),"")</f>
        <v/>
      </c>
      <c r="AA18" s="303"/>
      <c r="AB18" s="301" t="e">
        <f>IF(AND('Mapa final'!#REF!="Alta",'Mapa final'!#REF!="Mayor"),CONCATENATE("R",'Mapa final'!#REF!),"")</f>
        <v>#REF!</v>
      </c>
      <c r="AC18" s="302"/>
      <c r="AD18" s="302" t="e">
        <f>IF(AND('Mapa final'!#REF!="Alta",'Mapa final'!#REF!="Mayor"),CONCATENATE("R",'Mapa final'!#REF!),"")</f>
        <v>#REF!</v>
      </c>
      <c r="AE18" s="302"/>
      <c r="AF18" s="302" t="str">
        <f>IF(AND('Mapa final'!$J$38="Alta",'Mapa final'!$N$38="Mayor"),CONCATENATE("R",'Mapa final'!$C$38),"")</f>
        <v/>
      </c>
      <c r="AG18" s="303"/>
      <c r="AH18" s="292" t="e">
        <f>IF(AND('Mapa final'!#REF!="Alta",'Mapa final'!#REF!="Catastrófico"),CONCATENATE("R",'Mapa final'!#REF!),"")</f>
        <v>#REF!</v>
      </c>
      <c r="AI18" s="293"/>
      <c r="AJ18" s="293" t="e">
        <f>IF(AND('Mapa final'!#REF!="Alta",'Mapa final'!#REF!="Catastrófico"),CONCATENATE("R",'Mapa final'!#REF!),"")</f>
        <v>#REF!</v>
      </c>
      <c r="AK18" s="293"/>
      <c r="AL18" s="293" t="str">
        <f>IF(AND('Mapa final'!$J$38="Alta",'Mapa final'!$N$38="Catastrófico"),CONCATENATE("R",'Mapa final'!$C$38),"")</f>
        <v/>
      </c>
      <c r="AM18" s="294"/>
      <c r="AN18" s="78"/>
      <c r="AO18" s="335"/>
      <c r="AP18" s="336"/>
      <c r="AQ18" s="336"/>
      <c r="AR18" s="336"/>
      <c r="AS18" s="336"/>
      <c r="AT18" s="337"/>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row>
    <row r="19" spans="1:80" ht="15" customHeight="1" x14ac:dyDescent="0.35">
      <c r="A19" s="78"/>
      <c r="B19" s="321"/>
      <c r="C19" s="321"/>
      <c r="D19" s="322"/>
      <c r="E19" s="314"/>
      <c r="F19" s="315"/>
      <c r="G19" s="315"/>
      <c r="H19" s="315"/>
      <c r="I19" s="315"/>
      <c r="J19" s="283"/>
      <c r="K19" s="284"/>
      <c r="L19" s="284"/>
      <c r="M19" s="284"/>
      <c r="N19" s="284"/>
      <c r="O19" s="285"/>
      <c r="P19" s="283"/>
      <c r="Q19" s="284"/>
      <c r="R19" s="284"/>
      <c r="S19" s="284"/>
      <c r="T19" s="284"/>
      <c r="U19" s="285"/>
      <c r="V19" s="301"/>
      <c r="W19" s="302"/>
      <c r="X19" s="302"/>
      <c r="Y19" s="302"/>
      <c r="Z19" s="302"/>
      <c r="AA19" s="303"/>
      <c r="AB19" s="301"/>
      <c r="AC19" s="302"/>
      <c r="AD19" s="302"/>
      <c r="AE19" s="302"/>
      <c r="AF19" s="302"/>
      <c r="AG19" s="303"/>
      <c r="AH19" s="292"/>
      <c r="AI19" s="293"/>
      <c r="AJ19" s="293"/>
      <c r="AK19" s="293"/>
      <c r="AL19" s="293"/>
      <c r="AM19" s="294"/>
      <c r="AN19" s="78"/>
      <c r="AO19" s="335"/>
      <c r="AP19" s="336"/>
      <c r="AQ19" s="336"/>
      <c r="AR19" s="336"/>
      <c r="AS19" s="336"/>
      <c r="AT19" s="337"/>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row>
    <row r="20" spans="1:80" ht="15" customHeight="1" x14ac:dyDescent="0.35">
      <c r="A20" s="78"/>
      <c r="B20" s="321"/>
      <c r="C20" s="321"/>
      <c r="D20" s="322"/>
      <c r="E20" s="314"/>
      <c r="F20" s="315"/>
      <c r="G20" s="315"/>
      <c r="H20" s="315"/>
      <c r="I20" s="315"/>
      <c r="J20" s="283" t="e">
        <f>IF(AND('Mapa final'!#REF!="Alta",'Mapa final'!#REF!="Leve"),CONCATENATE("R",'Mapa final'!#REF!),"")</f>
        <v>#REF!</v>
      </c>
      <c r="K20" s="284"/>
      <c r="L20" s="284" t="str">
        <f>IF(AND('Mapa final'!$J$60="Alta",'Mapa final'!$N$60="Leve"),CONCATENATE("R",'Mapa final'!$C$60),"")</f>
        <v/>
      </c>
      <c r="M20" s="284"/>
      <c r="N20" s="284" t="str">
        <f>IF(AND('Mapa final'!$J$66="Alta",'Mapa final'!$N$66="Leve"),CONCATENATE("R",'Mapa final'!$C$66),"")</f>
        <v/>
      </c>
      <c r="O20" s="285"/>
      <c r="P20" s="283" t="e">
        <f>IF(AND('Mapa final'!#REF!="Alta",'Mapa final'!#REF!="Menor"),CONCATENATE("R",'Mapa final'!#REF!),"")</f>
        <v>#REF!</v>
      </c>
      <c r="Q20" s="284"/>
      <c r="R20" s="284" t="str">
        <f>IF(AND('Mapa final'!$J$60="Alta",'Mapa final'!$N$60="Menor"),CONCATENATE("R",'Mapa final'!$C$60),"")</f>
        <v/>
      </c>
      <c r="S20" s="284"/>
      <c r="T20" s="284" t="str">
        <f>IF(AND('Mapa final'!$J$66="Alta",'Mapa final'!$N$66="Menor"),CONCATENATE("R",'Mapa final'!$C$66),"")</f>
        <v/>
      </c>
      <c r="U20" s="285"/>
      <c r="V20" s="301" t="e">
        <f>IF(AND('Mapa final'!#REF!="Alta",'Mapa final'!#REF!="Moderado"),CONCATENATE("R",'Mapa final'!#REF!),"")</f>
        <v>#REF!</v>
      </c>
      <c r="W20" s="302"/>
      <c r="X20" s="302" t="str">
        <f>IF(AND('Mapa final'!$J$60="Alta",'Mapa final'!$N$60="Moderado"),CONCATENATE("R",'Mapa final'!$C$60),"")</f>
        <v/>
      </c>
      <c r="Y20" s="302"/>
      <c r="Z20" s="302" t="str">
        <f>IF(AND('Mapa final'!$J$66="Alta",'Mapa final'!$N$66="Moderado"),CONCATENATE("R",'Mapa final'!$C$66),"")</f>
        <v/>
      </c>
      <c r="AA20" s="303"/>
      <c r="AB20" s="301" t="e">
        <f>IF(AND('Mapa final'!#REF!="Alta",'Mapa final'!#REF!="Mayor"),CONCATENATE("R",'Mapa final'!#REF!),"")</f>
        <v>#REF!</v>
      </c>
      <c r="AC20" s="302"/>
      <c r="AD20" s="302" t="str">
        <f>IF(AND('Mapa final'!$J$60="Alta",'Mapa final'!$N$60="Mayor"),CONCATENATE("R",'Mapa final'!$C$60),"")</f>
        <v/>
      </c>
      <c r="AE20" s="302"/>
      <c r="AF20" s="302" t="str">
        <f>IF(AND('Mapa final'!$J$66="Alta",'Mapa final'!$N$66="Mayor"),CONCATENATE("R",'Mapa final'!$C$66),"")</f>
        <v/>
      </c>
      <c r="AG20" s="303"/>
      <c r="AH20" s="292" t="e">
        <f>IF(AND('Mapa final'!#REF!="Alta",'Mapa final'!#REF!="Catastrófico"),CONCATENATE("R",'Mapa final'!#REF!),"")</f>
        <v>#REF!</v>
      </c>
      <c r="AI20" s="293"/>
      <c r="AJ20" s="293" t="str">
        <f>IF(AND('Mapa final'!$J$60="Alta",'Mapa final'!$N$60="Catastrófico"),CONCATENATE("R",'Mapa final'!$C$60),"")</f>
        <v/>
      </c>
      <c r="AK20" s="293"/>
      <c r="AL20" s="293" t="str">
        <f>IF(AND('Mapa final'!$J$66="Alta",'Mapa final'!$N$66="Catastrófico"),CONCATENATE("R",'Mapa final'!$C$66),"")</f>
        <v/>
      </c>
      <c r="AM20" s="294"/>
      <c r="AN20" s="78"/>
      <c r="AO20" s="335"/>
      <c r="AP20" s="336"/>
      <c r="AQ20" s="336"/>
      <c r="AR20" s="336"/>
      <c r="AS20" s="336"/>
      <c r="AT20" s="337"/>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row>
    <row r="21" spans="1:80" ht="15.75" customHeight="1" thickBot="1" x14ac:dyDescent="0.4">
      <c r="A21" s="78"/>
      <c r="B21" s="321"/>
      <c r="C21" s="321"/>
      <c r="D21" s="322"/>
      <c r="E21" s="317"/>
      <c r="F21" s="318"/>
      <c r="G21" s="318"/>
      <c r="H21" s="318"/>
      <c r="I21" s="318"/>
      <c r="J21" s="286"/>
      <c r="K21" s="287"/>
      <c r="L21" s="287"/>
      <c r="M21" s="287"/>
      <c r="N21" s="287"/>
      <c r="O21" s="288"/>
      <c r="P21" s="286"/>
      <c r="Q21" s="287"/>
      <c r="R21" s="287"/>
      <c r="S21" s="287"/>
      <c r="T21" s="287"/>
      <c r="U21" s="288"/>
      <c r="V21" s="304"/>
      <c r="W21" s="305"/>
      <c r="X21" s="305"/>
      <c r="Y21" s="305"/>
      <c r="Z21" s="305"/>
      <c r="AA21" s="306"/>
      <c r="AB21" s="304"/>
      <c r="AC21" s="305"/>
      <c r="AD21" s="305"/>
      <c r="AE21" s="305"/>
      <c r="AF21" s="305"/>
      <c r="AG21" s="306"/>
      <c r="AH21" s="295"/>
      <c r="AI21" s="296"/>
      <c r="AJ21" s="296"/>
      <c r="AK21" s="296"/>
      <c r="AL21" s="296"/>
      <c r="AM21" s="297"/>
      <c r="AN21" s="78"/>
      <c r="AO21" s="338"/>
      <c r="AP21" s="339"/>
      <c r="AQ21" s="339"/>
      <c r="AR21" s="339"/>
      <c r="AS21" s="339"/>
      <c r="AT21" s="340"/>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row>
    <row r="22" spans="1:80" x14ac:dyDescent="0.35">
      <c r="A22" s="78"/>
      <c r="B22" s="321"/>
      <c r="C22" s="321"/>
      <c r="D22" s="322"/>
      <c r="E22" s="311" t="s">
        <v>116</v>
      </c>
      <c r="F22" s="312"/>
      <c r="G22" s="312"/>
      <c r="H22" s="312"/>
      <c r="I22" s="313"/>
      <c r="J22" s="289" t="str">
        <f>IF(AND('Mapa final'!$J$6="Media",'Mapa final'!$N$6="Leve"),CONCATENATE("R",'Mapa final'!$C$6),"")</f>
        <v/>
      </c>
      <c r="K22" s="290"/>
      <c r="L22" s="290" t="str">
        <f>IF(AND('Mapa final'!$J$12="Media",'Mapa final'!$N$12="Leve"),CONCATENATE("R",'Mapa final'!$C$12),"")</f>
        <v/>
      </c>
      <c r="M22" s="290"/>
      <c r="N22" s="290" t="e">
        <f>IF(AND('Mapa final'!#REF!="Media",'Mapa final'!#REF!="Leve"),CONCATENATE("R",'Mapa final'!#REF!),"")</f>
        <v>#REF!</v>
      </c>
      <c r="O22" s="291"/>
      <c r="P22" s="289" t="str">
        <f>IF(AND('Mapa final'!$J$6="Media",'Mapa final'!$N$6="Menor"),CONCATENATE("R",'Mapa final'!$C$6),"")</f>
        <v/>
      </c>
      <c r="Q22" s="290"/>
      <c r="R22" s="290" t="str">
        <f>IF(AND('Mapa final'!$J$12="Media",'Mapa final'!$N$12="Menor"),CONCATENATE("R",'Mapa final'!$C$12),"")</f>
        <v/>
      </c>
      <c r="S22" s="290"/>
      <c r="T22" s="290" t="e">
        <f>IF(AND('Mapa final'!#REF!="Media",'Mapa final'!#REF!="Menor"),CONCATENATE("R",'Mapa final'!#REF!),"")</f>
        <v>#REF!</v>
      </c>
      <c r="U22" s="291"/>
      <c r="V22" s="289" t="str">
        <f>IF(AND('Mapa final'!$J$6="Media",'Mapa final'!$N$6="Moderado"),CONCATENATE("R",'Mapa final'!$C$6),"")</f>
        <v>R68</v>
      </c>
      <c r="W22" s="290"/>
      <c r="X22" s="290" t="str">
        <f>IF(AND('Mapa final'!$J$12="Media",'Mapa final'!$N$12="Moderado"),CONCATENATE("R",'Mapa final'!$C$12),"")</f>
        <v>R69</v>
      </c>
      <c r="Y22" s="290"/>
      <c r="Z22" s="290" t="e">
        <f>IF(AND('Mapa final'!#REF!="Media",'Mapa final'!#REF!="Moderado"),CONCATENATE("R",'Mapa final'!#REF!),"")</f>
        <v>#REF!</v>
      </c>
      <c r="AA22" s="291"/>
      <c r="AB22" s="307" t="str">
        <f>IF(AND('Mapa final'!$J$6="Media",'Mapa final'!$N$6="Mayor"),CONCATENATE("R",'Mapa final'!$C$6),"")</f>
        <v/>
      </c>
      <c r="AC22" s="308"/>
      <c r="AD22" s="308" t="str">
        <f>IF(AND('Mapa final'!$J$12="Media",'Mapa final'!$N$12="Mayor"),CONCATENATE("R",'Mapa final'!$C$12),"")</f>
        <v/>
      </c>
      <c r="AE22" s="308"/>
      <c r="AF22" s="308" t="e">
        <f>IF(AND('Mapa final'!#REF!="Media",'Mapa final'!#REF!="Mayor"),CONCATENATE("R",'Mapa final'!#REF!),"")</f>
        <v>#REF!</v>
      </c>
      <c r="AG22" s="309"/>
      <c r="AH22" s="298" t="str">
        <f>IF(AND('Mapa final'!$J$6="Media",'Mapa final'!$N$6="Catastrófico"),CONCATENATE("R",'Mapa final'!$C$6),"")</f>
        <v/>
      </c>
      <c r="AI22" s="299"/>
      <c r="AJ22" s="299" t="str">
        <f>IF(AND('Mapa final'!$J$12="Media",'Mapa final'!$N$12="Catastrófico"),CONCATENATE("R",'Mapa final'!$C$12),"")</f>
        <v/>
      </c>
      <c r="AK22" s="299"/>
      <c r="AL22" s="299" t="e">
        <f>IF(AND('Mapa final'!#REF!="Media",'Mapa final'!#REF!="Catastrófico"),CONCATENATE("R",'Mapa final'!#REF!),"")</f>
        <v>#REF!</v>
      </c>
      <c r="AM22" s="300"/>
      <c r="AN22" s="78"/>
      <c r="AO22" s="341" t="s">
        <v>80</v>
      </c>
      <c r="AP22" s="342"/>
      <c r="AQ22" s="342"/>
      <c r="AR22" s="342"/>
      <c r="AS22" s="342"/>
      <c r="AT22" s="343"/>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row>
    <row r="23" spans="1:80" x14ac:dyDescent="0.35">
      <c r="A23" s="78"/>
      <c r="B23" s="321"/>
      <c r="C23" s="321"/>
      <c r="D23" s="322"/>
      <c r="E23" s="314"/>
      <c r="F23" s="315"/>
      <c r="G23" s="315"/>
      <c r="H23" s="315"/>
      <c r="I23" s="316"/>
      <c r="J23" s="283"/>
      <c r="K23" s="284"/>
      <c r="L23" s="284"/>
      <c r="M23" s="284"/>
      <c r="N23" s="284"/>
      <c r="O23" s="285"/>
      <c r="P23" s="283"/>
      <c r="Q23" s="284"/>
      <c r="R23" s="284"/>
      <c r="S23" s="284"/>
      <c r="T23" s="284"/>
      <c r="U23" s="285"/>
      <c r="V23" s="283"/>
      <c r="W23" s="284"/>
      <c r="X23" s="284"/>
      <c r="Y23" s="284"/>
      <c r="Z23" s="284"/>
      <c r="AA23" s="285"/>
      <c r="AB23" s="301"/>
      <c r="AC23" s="302"/>
      <c r="AD23" s="302"/>
      <c r="AE23" s="302"/>
      <c r="AF23" s="302"/>
      <c r="AG23" s="303"/>
      <c r="AH23" s="292"/>
      <c r="AI23" s="293"/>
      <c r="AJ23" s="293"/>
      <c r="AK23" s="293"/>
      <c r="AL23" s="293"/>
      <c r="AM23" s="294"/>
      <c r="AN23" s="78"/>
      <c r="AO23" s="344"/>
      <c r="AP23" s="345"/>
      <c r="AQ23" s="345"/>
      <c r="AR23" s="345"/>
      <c r="AS23" s="345"/>
      <c r="AT23" s="346"/>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row>
    <row r="24" spans="1:80" x14ac:dyDescent="0.35">
      <c r="A24" s="78"/>
      <c r="B24" s="321"/>
      <c r="C24" s="321"/>
      <c r="D24" s="322"/>
      <c r="E24" s="314"/>
      <c r="F24" s="315"/>
      <c r="G24" s="315"/>
      <c r="H24" s="315"/>
      <c r="I24" s="316"/>
      <c r="J24" s="283" t="str">
        <f>IF(AND('Mapa final'!$J$19="Media",'Mapa final'!$N$19="Leve"),CONCATENATE("R",'Mapa final'!$C$19),"")</f>
        <v/>
      </c>
      <c r="K24" s="284"/>
      <c r="L24" s="284" t="e">
        <f>IF(AND('Mapa final'!#REF!="Media",'Mapa final'!#REF!="Leve"),CONCATENATE("R",'Mapa final'!#REF!),"")</f>
        <v>#REF!</v>
      </c>
      <c r="M24" s="284"/>
      <c r="N24" s="284" t="str">
        <f>IF(AND('Mapa final'!$J$29="Media",'Mapa final'!$N$29="Leve"),CONCATENATE("R",'Mapa final'!$C$29),"")</f>
        <v/>
      </c>
      <c r="O24" s="285"/>
      <c r="P24" s="283" t="str">
        <f>IF(AND('Mapa final'!$J$19="Media",'Mapa final'!$N$19="Menor"),CONCATENATE("R",'Mapa final'!$C$19),"")</f>
        <v/>
      </c>
      <c r="Q24" s="284"/>
      <c r="R24" s="284" t="e">
        <f>IF(AND('Mapa final'!#REF!="Media",'Mapa final'!#REF!="Menor"),CONCATENATE("R",'Mapa final'!#REF!),"")</f>
        <v>#REF!</v>
      </c>
      <c r="S24" s="284"/>
      <c r="T24" s="284" t="str">
        <f>IF(AND('Mapa final'!$J$29="Media",'Mapa final'!$N$29="Menor"),CONCATENATE("R",'Mapa final'!$C$29),"")</f>
        <v/>
      </c>
      <c r="U24" s="285"/>
      <c r="V24" s="283" t="str">
        <f>IF(AND('Mapa final'!$J$19="Media",'Mapa final'!$N$19="Moderado"),CONCATENATE("R",'Mapa final'!$C$19),"")</f>
        <v/>
      </c>
      <c r="W24" s="284"/>
      <c r="X24" s="284" t="e">
        <f>IF(AND('Mapa final'!#REF!="Media",'Mapa final'!#REF!="Moderado"),CONCATENATE("R",'Mapa final'!#REF!),"")</f>
        <v>#REF!</v>
      </c>
      <c r="Y24" s="284"/>
      <c r="Z24" s="284" t="str">
        <f>IF(AND('Mapa final'!$J$29="Media",'Mapa final'!$N$29="Moderado"),CONCATENATE("R",'Mapa final'!$C$29),"")</f>
        <v>R32</v>
      </c>
      <c r="AA24" s="285"/>
      <c r="AB24" s="301" t="str">
        <f>IF(AND('Mapa final'!$J$19="Media",'Mapa final'!$N$19="Mayor"),CONCATENATE("R",'Mapa final'!$C$19),"")</f>
        <v/>
      </c>
      <c r="AC24" s="302"/>
      <c r="AD24" s="302" t="e">
        <f>IF(AND('Mapa final'!#REF!="Media",'Mapa final'!#REF!="Mayor"),CONCATENATE("R",'Mapa final'!#REF!),"")</f>
        <v>#REF!</v>
      </c>
      <c r="AE24" s="302"/>
      <c r="AF24" s="302" t="str">
        <f>IF(AND('Mapa final'!$J$29="Media",'Mapa final'!$N$29="Mayor"),CONCATENATE("R",'Mapa final'!$C$29),"")</f>
        <v/>
      </c>
      <c r="AG24" s="303"/>
      <c r="AH24" s="292" t="str">
        <f>IF(AND('Mapa final'!$J$19="Media",'Mapa final'!$N$19="Catastrófico"),CONCATENATE("R",'Mapa final'!$C$19),"")</f>
        <v/>
      </c>
      <c r="AI24" s="293"/>
      <c r="AJ24" s="293" t="e">
        <f>IF(AND('Mapa final'!#REF!="Media",'Mapa final'!#REF!="Catastrófico"),CONCATENATE("R",'Mapa final'!#REF!),"")</f>
        <v>#REF!</v>
      </c>
      <c r="AK24" s="293"/>
      <c r="AL24" s="293" t="str">
        <f>IF(AND('Mapa final'!$J$29="Media",'Mapa final'!$N$29="Catastrófico"),CONCATENATE("R",'Mapa final'!$C$29),"")</f>
        <v/>
      </c>
      <c r="AM24" s="294"/>
      <c r="AN24" s="78"/>
      <c r="AO24" s="344"/>
      <c r="AP24" s="345"/>
      <c r="AQ24" s="345"/>
      <c r="AR24" s="345"/>
      <c r="AS24" s="345"/>
      <c r="AT24" s="346"/>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row>
    <row r="25" spans="1:80" x14ac:dyDescent="0.35">
      <c r="A25" s="78"/>
      <c r="B25" s="321"/>
      <c r="C25" s="321"/>
      <c r="D25" s="322"/>
      <c r="E25" s="314"/>
      <c r="F25" s="315"/>
      <c r="G25" s="315"/>
      <c r="H25" s="315"/>
      <c r="I25" s="316"/>
      <c r="J25" s="283"/>
      <c r="K25" s="284"/>
      <c r="L25" s="284"/>
      <c r="M25" s="284"/>
      <c r="N25" s="284"/>
      <c r="O25" s="285"/>
      <c r="P25" s="283"/>
      <c r="Q25" s="284"/>
      <c r="R25" s="284"/>
      <c r="S25" s="284"/>
      <c r="T25" s="284"/>
      <c r="U25" s="285"/>
      <c r="V25" s="283"/>
      <c r="W25" s="284"/>
      <c r="X25" s="284"/>
      <c r="Y25" s="284"/>
      <c r="Z25" s="284"/>
      <c r="AA25" s="285"/>
      <c r="AB25" s="301"/>
      <c r="AC25" s="302"/>
      <c r="AD25" s="302"/>
      <c r="AE25" s="302"/>
      <c r="AF25" s="302"/>
      <c r="AG25" s="303"/>
      <c r="AH25" s="292"/>
      <c r="AI25" s="293"/>
      <c r="AJ25" s="293"/>
      <c r="AK25" s="293"/>
      <c r="AL25" s="293"/>
      <c r="AM25" s="294"/>
      <c r="AN25" s="78"/>
      <c r="AO25" s="344"/>
      <c r="AP25" s="345"/>
      <c r="AQ25" s="345"/>
      <c r="AR25" s="345"/>
      <c r="AS25" s="345"/>
      <c r="AT25" s="346"/>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row>
    <row r="26" spans="1:80" x14ac:dyDescent="0.35">
      <c r="A26" s="78"/>
      <c r="B26" s="321"/>
      <c r="C26" s="321"/>
      <c r="D26" s="322"/>
      <c r="E26" s="314"/>
      <c r="F26" s="315"/>
      <c r="G26" s="315"/>
      <c r="H26" s="315"/>
      <c r="I26" s="316"/>
      <c r="J26" s="283" t="e">
        <f>IF(AND('Mapa final'!#REF!="Media",'Mapa final'!#REF!="Leve"),CONCATENATE("R",'Mapa final'!#REF!),"")</f>
        <v>#REF!</v>
      </c>
      <c r="K26" s="284"/>
      <c r="L26" s="284" t="e">
        <f>IF(AND('Mapa final'!#REF!="Media",'Mapa final'!#REF!="Leve"),CONCATENATE("R",'Mapa final'!#REF!),"")</f>
        <v>#REF!</v>
      </c>
      <c r="M26" s="284"/>
      <c r="N26" s="284" t="str">
        <f>IF(AND('Mapa final'!$J$38="Media",'Mapa final'!$N$38="Leve"),CONCATENATE("R",'Mapa final'!$C$38),"")</f>
        <v/>
      </c>
      <c r="O26" s="285"/>
      <c r="P26" s="283" t="e">
        <f>IF(AND('Mapa final'!#REF!="Media",'Mapa final'!#REF!="Menor"),CONCATENATE("R",'Mapa final'!#REF!),"")</f>
        <v>#REF!</v>
      </c>
      <c r="Q26" s="284"/>
      <c r="R26" s="284" t="e">
        <f>IF(AND('Mapa final'!#REF!="Media",'Mapa final'!#REF!="Menor"),CONCATENATE("R",'Mapa final'!#REF!),"")</f>
        <v>#REF!</v>
      </c>
      <c r="S26" s="284"/>
      <c r="T26" s="284" t="str">
        <f>IF(AND('Mapa final'!$J$38="Media",'Mapa final'!$N$38="Menor"),CONCATENATE("R",'Mapa final'!$C$38),"")</f>
        <v/>
      </c>
      <c r="U26" s="285"/>
      <c r="V26" s="283" t="e">
        <f>IF(AND('Mapa final'!#REF!="Media",'Mapa final'!#REF!="Moderado"),CONCATENATE("R",'Mapa final'!#REF!),"")</f>
        <v>#REF!</v>
      </c>
      <c r="W26" s="284"/>
      <c r="X26" s="284" t="e">
        <f>IF(AND('Mapa final'!#REF!="Media",'Mapa final'!#REF!="Moderado"),CONCATENATE("R",'Mapa final'!#REF!),"")</f>
        <v>#REF!</v>
      </c>
      <c r="Y26" s="284"/>
      <c r="Z26" s="284" t="str">
        <f>IF(AND('Mapa final'!$J$38="Media",'Mapa final'!$N$38="Moderado"),CONCATENATE("R",'Mapa final'!$C$38),"")</f>
        <v>R49</v>
      </c>
      <c r="AA26" s="285"/>
      <c r="AB26" s="301" t="e">
        <f>IF(AND('Mapa final'!#REF!="Media",'Mapa final'!#REF!="Mayor"),CONCATENATE("R",'Mapa final'!#REF!),"")</f>
        <v>#REF!</v>
      </c>
      <c r="AC26" s="302"/>
      <c r="AD26" s="302" t="e">
        <f>IF(AND('Mapa final'!#REF!="Media",'Mapa final'!#REF!="Mayor"),CONCATENATE("R",'Mapa final'!#REF!),"")</f>
        <v>#REF!</v>
      </c>
      <c r="AE26" s="302"/>
      <c r="AF26" s="302" t="str">
        <f>IF(AND('Mapa final'!$J$38="Media",'Mapa final'!$N$38="Mayor"),CONCATENATE("R",'Mapa final'!$C$38),"")</f>
        <v/>
      </c>
      <c r="AG26" s="303"/>
      <c r="AH26" s="292" t="e">
        <f>IF(AND('Mapa final'!#REF!="Media",'Mapa final'!#REF!="Catastrófico"),CONCATENATE("R",'Mapa final'!#REF!),"")</f>
        <v>#REF!</v>
      </c>
      <c r="AI26" s="293"/>
      <c r="AJ26" s="293" t="e">
        <f>IF(AND('Mapa final'!#REF!="Media",'Mapa final'!#REF!="Catastrófico"),CONCATENATE("R",'Mapa final'!#REF!),"")</f>
        <v>#REF!</v>
      </c>
      <c r="AK26" s="293"/>
      <c r="AL26" s="293" t="str">
        <f>IF(AND('Mapa final'!$J$38="Media",'Mapa final'!$N$38="Catastrófico"),CONCATENATE("R",'Mapa final'!$C$38),"")</f>
        <v/>
      </c>
      <c r="AM26" s="294"/>
      <c r="AN26" s="78"/>
      <c r="AO26" s="344"/>
      <c r="AP26" s="345"/>
      <c r="AQ26" s="345"/>
      <c r="AR26" s="345"/>
      <c r="AS26" s="345"/>
      <c r="AT26" s="346"/>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row>
    <row r="27" spans="1:80" x14ac:dyDescent="0.35">
      <c r="A27" s="78"/>
      <c r="B27" s="321"/>
      <c r="C27" s="321"/>
      <c r="D27" s="322"/>
      <c r="E27" s="314"/>
      <c r="F27" s="315"/>
      <c r="G27" s="315"/>
      <c r="H27" s="315"/>
      <c r="I27" s="316"/>
      <c r="J27" s="283"/>
      <c r="K27" s="284"/>
      <c r="L27" s="284"/>
      <c r="M27" s="284"/>
      <c r="N27" s="284"/>
      <c r="O27" s="285"/>
      <c r="P27" s="283"/>
      <c r="Q27" s="284"/>
      <c r="R27" s="284"/>
      <c r="S27" s="284"/>
      <c r="T27" s="284"/>
      <c r="U27" s="285"/>
      <c r="V27" s="283"/>
      <c r="W27" s="284"/>
      <c r="X27" s="284"/>
      <c r="Y27" s="284"/>
      <c r="Z27" s="284"/>
      <c r="AA27" s="285"/>
      <c r="AB27" s="301"/>
      <c r="AC27" s="302"/>
      <c r="AD27" s="302"/>
      <c r="AE27" s="302"/>
      <c r="AF27" s="302"/>
      <c r="AG27" s="303"/>
      <c r="AH27" s="292"/>
      <c r="AI27" s="293"/>
      <c r="AJ27" s="293"/>
      <c r="AK27" s="293"/>
      <c r="AL27" s="293"/>
      <c r="AM27" s="294"/>
      <c r="AN27" s="78"/>
      <c r="AO27" s="344"/>
      <c r="AP27" s="345"/>
      <c r="AQ27" s="345"/>
      <c r="AR27" s="345"/>
      <c r="AS27" s="345"/>
      <c r="AT27" s="346"/>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row>
    <row r="28" spans="1:80" x14ac:dyDescent="0.35">
      <c r="A28" s="78"/>
      <c r="B28" s="321"/>
      <c r="C28" s="321"/>
      <c r="D28" s="322"/>
      <c r="E28" s="314"/>
      <c r="F28" s="315"/>
      <c r="G28" s="315"/>
      <c r="H28" s="315"/>
      <c r="I28" s="316"/>
      <c r="J28" s="283" t="e">
        <f>IF(AND('Mapa final'!#REF!="Media",'Mapa final'!#REF!="Leve"),CONCATENATE("R",'Mapa final'!#REF!),"")</f>
        <v>#REF!</v>
      </c>
      <c r="K28" s="284"/>
      <c r="L28" s="284" t="str">
        <f>IF(AND('Mapa final'!$J$60="Media",'Mapa final'!$N$60="Leve"),CONCATENATE("R",'Mapa final'!$C$60),"")</f>
        <v/>
      </c>
      <c r="M28" s="284"/>
      <c r="N28" s="284" t="str">
        <f>IF(AND('Mapa final'!$J$66="Media",'Mapa final'!$N$66="Leve"),CONCATENATE("R",'Mapa final'!$C$66),"")</f>
        <v/>
      </c>
      <c r="O28" s="285"/>
      <c r="P28" s="283" t="e">
        <f>IF(AND('Mapa final'!#REF!="Media",'Mapa final'!#REF!="Menor"),CONCATENATE("R",'Mapa final'!#REF!),"")</f>
        <v>#REF!</v>
      </c>
      <c r="Q28" s="284"/>
      <c r="R28" s="284" t="str">
        <f>IF(AND('Mapa final'!$J$60="Media",'Mapa final'!$N$60="Menor"),CONCATENATE("R",'Mapa final'!$C$60),"")</f>
        <v/>
      </c>
      <c r="S28" s="284"/>
      <c r="T28" s="284" t="str">
        <f>IF(AND('Mapa final'!$J$66="Media",'Mapa final'!$N$66="Menor"),CONCATENATE("R",'Mapa final'!$C$66),"")</f>
        <v/>
      </c>
      <c r="U28" s="285"/>
      <c r="V28" s="283" t="e">
        <f>IF(AND('Mapa final'!#REF!="Media",'Mapa final'!#REF!="Moderado"),CONCATENATE("R",'Mapa final'!#REF!),"")</f>
        <v>#REF!</v>
      </c>
      <c r="W28" s="284"/>
      <c r="X28" s="284" t="str">
        <f>IF(AND('Mapa final'!$J$60="Media",'Mapa final'!$N$60="Moderado"),CONCATENATE("R",'Mapa final'!$C$60),"")</f>
        <v/>
      </c>
      <c r="Y28" s="284"/>
      <c r="Z28" s="284" t="str">
        <f>IF(AND('Mapa final'!$J$66="Media",'Mapa final'!$N$66="Moderado"),CONCATENATE("R",'Mapa final'!$C$66),"")</f>
        <v/>
      </c>
      <c r="AA28" s="285"/>
      <c r="AB28" s="301" t="e">
        <f>IF(AND('Mapa final'!#REF!="Media",'Mapa final'!#REF!="Mayor"),CONCATENATE("R",'Mapa final'!#REF!),"")</f>
        <v>#REF!</v>
      </c>
      <c r="AC28" s="302"/>
      <c r="AD28" s="302" t="str">
        <f>IF(AND('Mapa final'!$J$60="Media",'Mapa final'!$N$60="Mayor"),CONCATENATE("R",'Mapa final'!$C$60),"")</f>
        <v/>
      </c>
      <c r="AE28" s="302"/>
      <c r="AF28" s="302" t="str">
        <f>IF(AND('Mapa final'!$J$66="Media",'Mapa final'!$N$66="Mayor"),CONCATENATE("R",'Mapa final'!$C$66),"")</f>
        <v/>
      </c>
      <c r="AG28" s="303"/>
      <c r="AH28" s="292" t="e">
        <f>IF(AND('Mapa final'!#REF!="Media",'Mapa final'!#REF!="Catastrófico"),CONCATENATE("R",'Mapa final'!#REF!),"")</f>
        <v>#REF!</v>
      </c>
      <c r="AI28" s="293"/>
      <c r="AJ28" s="293" t="str">
        <f>IF(AND('Mapa final'!$J$60="Media",'Mapa final'!$N$60="Catastrófico"),CONCATENATE("R",'Mapa final'!$C$60),"")</f>
        <v/>
      </c>
      <c r="AK28" s="293"/>
      <c r="AL28" s="293" t="str">
        <f>IF(AND('Mapa final'!$J$66="Media",'Mapa final'!$N$66="Catastrófico"),CONCATENATE("R",'Mapa final'!$C$66),"")</f>
        <v/>
      </c>
      <c r="AM28" s="294"/>
      <c r="AN28" s="78"/>
      <c r="AO28" s="344"/>
      <c r="AP28" s="345"/>
      <c r="AQ28" s="345"/>
      <c r="AR28" s="345"/>
      <c r="AS28" s="345"/>
      <c r="AT28" s="346"/>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row>
    <row r="29" spans="1:80" ht="15" thickBot="1" x14ac:dyDescent="0.4">
      <c r="A29" s="78"/>
      <c r="B29" s="321"/>
      <c r="C29" s="321"/>
      <c r="D29" s="322"/>
      <c r="E29" s="317"/>
      <c r="F29" s="318"/>
      <c r="G29" s="318"/>
      <c r="H29" s="318"/>
      <c r="I29" s="319"/>
      <c r="J29" s="283"/>
      <c r="K29" s="284"/>
      <c r="L29" s="284"/>
      <c r="M29" s="284"/>
      <c r="N29" s="284"/>
      <c r="O29" s="285"/>
      <c r="P29" s="286"/>
      <c r="Q29" s="287"/>
      <c r="R29" s="287"/>
      <c r="S29" s="287"/>
      <c r="T29" s="287"/>
      <c r="U29" s="288"/>
      <c r="V29" s="286"/>
      <c r="W29" s="287"/>
      <c r="X29" s="287"/>
      <c r="Y29" s="287"/>
      <c r="Z29" s="287"/>
      <c r="AA29" s="288"/>
      <c r="AB29" s="304"/>
      <c r="AC29" s="305"/>
      <c r="AD29" s="305"/>
      <c r="AE29" s="305"/>
      <c r="AF29" s="305"/>
      <c r="AG29" s="306"/>
      <c r="AH29" s="295"/>
      <c r="AI29" s="296"/>
      <c r="AJ29" s="296"/>
      <c r="AK29" s="296"/>
      <c r="AL29" s="296"/>
      <c r="AM29" s="297"/>
      <c r="AN29" s="78"/>
      <c r="AO29" s="347"/>
      <c r="AP29" s="348"/>
      <c r="AQ29" s="348"/>
      <c r="AR29" s="348"/>
      <c r="AS29" s="348"/>
      <c r="AT29" s="349"/>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row>
    <row r="30" spans="1:80" x14ac:dyDescent="0.35">
      <c r="A30" s="78"/>
      <c r="B30" s="321"/>
      <c r="C30" s="321"/>
      <c r="D30" s="322"/>
      <c r="E30" s="311" t="s">
        <v>113</v>
      </c>
      <c r="F30" s="312"/>
      <c r="G30" s="312"/>
      <c r="H30" s="312"/>
      <c r="I30" s="312"/>
      <c r="J30" s="280" t="str">
        <f>IF(AND('Mapa final'!$J$6="Baja",'Mapa final'!$N$6="Leve"),CONCATENATE("R",'Mapa final'!$C$6),"")</f>
        <v/>
      </c>
      <c r="K30" s="281"/>
      <c r="L30" s="281" t="str">
        <f>IF(AND('Mapa final'!$J$12="Baja",'Mapa final'!$N$12="Leve"),CONCATENATE("R",'Mapa final'!$C$12),"")</f>
        <v/>
      </c>
      <c r="M30" s="281"/>
      <c r="N30" s="281" t="e">
        <f>IF(AND('Mapa final'!#REF!="Baja",'Mapa final'!#REF!="Leve"),CONCATENATE("R",'Mapa final'!#REF!),"")</f>
        <v>#REF!</v>
      </c>
      <c r="O30" s="282"/>
      <c r="P30" s="290" t="str">
        <f>IF(AND('Mapa final'!$J$6="Baja",'Mapa final'!$N$6="Menor"),CONCATENATE("R",'Mapa final'!$C$6),"")</f>
        <v/>
      </c>
      <c r="Q30" s="290"/>
      <c r="R30" s="290" t="str">
        <f>IF(AND('Mapa final'!$J$12="Baja",'Mapa final'!$N$12="Menor"),CONCATENATE("R",'Mapa final'!$C$12),"")</f>
        <v/>
      </c>
      <c r="S30" s="290"/>
      <c r="T30" s="290" t="e">
        <f>IF(AND('Mapa final'!#REF!="Baja",'Mapa final'!#REF!="Menor"),CONCATENATE("R",'Mapa final'!#REF!),"")</f>
        <v>#REF!</v>
      </c>
      <c r="U30" s="291"/>
      <c r="V30" s="289" t="str">
        <f>IF(AND('Mapa final'!$J$6="Baja",'Mapa final'!$N$6="Moderado"),CONCATENATE("R",'Mapa final'!$C$6),"")</f>
        <v/>
      </c>
      <c r="W30" s="290"/>
      <c r="X30" s="290" t="str">
        <f>IF(AND('Mapa final'!$J$12="Baja",'Mapa final'!$N$12="Moderado"),CONCATENATE("R",'Mapa final'!$C$12),"")</f>
        <v/>
      </c>
      <c r="Y30" s="290"/>
      <c r="Z30" s="290" t="e">
        <f>IF(AND('Mapa final'!#REF!="Baja",'Mapa final'!#REF!="Moderado"),CONCATENATE("R",'Mapa final'!#REF!),"")</f>
        <v>#REF!</v>
      </c>
      <c r="AA30" s="291"/>
      <c r="AB30" s="307" t="str">
        <f>IF(AND('Mapa final'!$J$6="Baja",'Mapa final'!$N$6="Mayor"),CONCATENATE("R",'Mapa final'!$C$6),"")</f>
        <v/>
      </c>
      <c r="AC30" s="308"/>
      <c r="AD30" s="308" t="str">
        <f>IF(AND('Mapa final'!$J$12="Baja",'Mapa final'!$N$12="Mayor"),CONCATENATE("R",'Mapa final'!$C$12),"")</f>
        <v/>
      </c>
      <c r="AE30" s="308"/>
      <c r="AF30" s="308" t="e">
        <f>IF(AND('Mapa final'!#REF!="Baja",'Mapa final'!#REF!="Mayor"),CONCATENATE("R",'Mapa final'!#REF!),"")</f>
        <v>#REF!</v>
      </c>
      <c r="AG30" s="309"/>
      <c r="AH30" s="298" t="str">
        <f>IF(AND('Mapa final'!$J$6="Baja",'Mapa final'!$N$6="Catastrófico"),CONCATENATE("R",'Mapa final'!$C$6),"")</f>
        <v/>
      </c>
      <c r="AI30" s="299"/>
      <c r="AJ30" s="299" t="str">
        <f>IF(AND('Mapa final'!$J$12="Baja",'Mapa final'!$N$12="Catastrófico"),CONCATENATE("R",'Mapa final'!$C$12),"")</f>
        <v/>
      </c>
      <c r="AK30" s="299"/>
      <c r="AL30" s="299" t="e">
        <f>IF(AND('Mapa final'!#REF!="Baja",'Mapa final'!#REF!="Catastrófico"),CONCATENATE("R",'Mapa final'!#REF!),"")</f>
        <v>#REF!</v>
      </c>
      <c r="AM30" s="300"/>
      <c r="AN30" s="78"/>
      <c r="AO30" s="350" t="s">
        <v>81</v>
      </c>
      <c r="AP30" s="351"/>
      <c r="AQ30" s="351"/>
      <c r="AR30" s="351"/>
      <c r="AS30" s="351"/>
      <c r="AT30" s="352"/>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row>
    <row r="31" spans="1:80" x14ac:dyDescent="0.35">
      <c r="A31" s="78"/>
      <c r="B31" s="321"/>
      <c r="C31" s="321"/>
      <c r="D31" s="322"/>
      <c r="E31" s="314"/>
      <c r="F31" s="315"/>
      <c r="G31" s="315"/>
      <c r="H31" s="315"/>
      <c r="I31" s="315"/>
      <c r="J31" s="274"/>
      <c r="K31" s="275"/>
      <c r="L31" s="275"/>
      <c r="M31" s="275"/>
      <c r="N31" s="275"/>
      <c r="O31" s="276"/>
      <c r="P31" s="284"/>
      <c r="Q31" s="284"/>
      <c r="R31" s="284"/>
      <c r="S31" s="284"/>
      <c r="T31" s="284"/>
      <c r="U31" s="285"/>
      <c r="V31" s="283"/>
      <c r="W31" s="284"/>
      <c r="X31" s="284"/>
      <c r="Y31" s="284"/>
      <c r="Z31" s="284"/>
      <c r="AA31" s="285"/>
      <c r="AB31" s="301"/>
      <c r="AC31" s="302"/>
      <c r="AD31" s="302"/>
      <c r="AE31" s="302"/>
      <c r="AF31" s="302"/>
      <c r="AG31" s="303"/>
      <c r="AH31" s="292"/>
      <c r="AI31" s="293"/>
      <c r="AJ31" s="293"/>
      <c r="AK31" s="293"/>
      <c r="AL31" s="293"/>
      <c r="AM31" s="294"/>
      <c r="AN31" s="78"/>
      <c r="AO31" s="353"/>
      <c r="AP31" s="354"/>
      <c r="AQ31" s="354"/>
      <c r="AR31" s="354"/>
      <c r="AS31" s="354"/>
      <c r="AT31" s="355"/>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row>
    <row r="32" spans="1:80" x14ac:dyDescent="0.35">
      <c r="A32" s="78"/>
      <c r="B32" s="321"/>
      <c r="C32" s="321"/>
      <c r="D32" s="322"/>
      <c r="E32" s="314"/>
      <c r="F32" s="315"/>
      <c r="G32" s="315"/>
      <c r="H32" s="315"/>
      <c r="I32" s="315"/>
      <c r="J32" s="274" t="str">
        <f>IF(AND('Mapa final'!$J$19="Baja",'Mapa final'!$N$19="Leve"),CONCATENATE("R",'Mapa final'!$C$19),"")</f>
        <v/>
      </c>
      <c r="K32" s="275"/>
      <c r="L32" s="275" t="e">
        <f>IF(AND('Mapa final'!#REF!="Baja",'Mapa final'!#REF!="Leve"),CONCATENATE("R",'Mapa final'!#REF!),"")</f>
        <v>#REF!</v>
      </c>
      <c r="M32" s="275"/>
      <c r="N32" s="275" t="str">
        <f>IF(AND('Mapa final'!$J$29="Baja",'Mapa final'!$N$29="Leve"),CONCATENATE("R",'Mapa final'!$C$29),"")</f>
        <v/>
      </c>
      <c r="O32" s="276"/>
      <c r="P32" s="284" t="str">
        <f>IF(AND('Mapa final'!$J$19="Baja",'Mapa final'!$N$19="Menor"),CONCATENATE("R",'Mapa final'!$C$19),"")</f>
        <v/>
      </c>
      <c r="Q32" s="284"/>
      <c r="R32" s="284" t="e">
        <f>IF(AND('Mapa final'!#REF!="Baja",'Mapa final'!#REF!="Menor"),CONCATENATE("R",'Mapa final'!#REF!),"")</f>
        <v>#REF!</v>
      </c>
      <c r="S32" s="284"/>
      <c r="T32" s="284" t="str">
        <f>IF(AND('Mapa final'!$J$29="Baja",'Mapa final'!$N$29="Menor"),CONCATENATE("R",'Mapa final'!$C$29),"")</f>
        <v/>
      </c>
      <c r="U32" s="285"/>
      <c r="V32" s="283" t="str">
        <f>IF(AND('Mapa final'!$J$19="Baja",'Mapa final'!$N$19="Moderado"),CONCATENATE("R",'Mapa final'!$C$19),"")</f>
        <v/>
      </c>
      <c r="W32" s="284"/>
      <c r="X32" s="284" t="e">
        <f>IF(AND('Mapa final'!#REF!="Baja",'Mapa final'!#REF!="Moderado"),CONCATENATE("R",'Mapa final'!#REF!),"")</f>
        <v>#REF!</v>
      </c>
      <c r="Y32" s="284"/>
      <c r="Z32" s="284" t="str">
        <f>IF(AND('Mapa final'!$J$29="Baja",'Mapa final'!$N$29="Moderado"),CONCATENATE("R",'Mapa final'!$C$29),"")</f>
        <v/>
      </c>
      <c r="AA32" s="285"/>
      <c r="AB32" s="301" t="str">
        <f>IF(AND('Mapa final'!$J$19="Baja",'Mapa final'!$N$19="Mayor"),CONCATENATE("R",'Mapa final'!$C$19),"")</f>
        <v/>
      </c>
      <c r="AC32" s="302"/>
      <c r="AD32" s="302" t="e">
        <f>IF(AND('Mapa final'!#REF!="Baja",'Mapa final'!#REF!="Mayor"),CONCATENATE("R",'Mapa final'!#REF!),"")</f>
        <v>#REF!</v>
      </c>
      <c r="AE32" s="302"/>
      <c r="AF32" s="302" t="str">
        <f>IF(AND('Mapa final'!$J$29="Baja",'Mapa final'!$N$29="Mayor"),CONCATENATE("R",'Mapa final'!$C$29),"")</f>
        <v/>
      </c>
      <c r="AG32" s="303"/>
      <c r="AH32" s="292" t="str">
        <f>IF(AND('Mapa final'!$J$19="Baja",'Mapa final'!$N$19="Catastrófico"),CONCATENATE("R",'Mapa final'!$C$19),"")</f>
        <v/>
      </c>
      <c r="AI32" s="293"/>
      <c r="AJ32" s="293" t="e">
        <f>IF(AND('Mapa final'!#REF!="Baja",'Mapa final'!#REF!="Catastrófico"),CONCATENATE("R",'Mapa final'!#REF!),"")</f>
        <v>#REF!</v>
      </c>
      <c r="AK32" s="293"/>
      <c r="AL32" s="293" t="str">
        <f>IF(AND('Mapa final'!$J$29="Baja",'Mapa final'!$N$29="Catastrófico"),CONCATENATE("R",'Mapa final'!$C$29),"")</f>
        <v/>
      </c>
      <c r="AM32" s="294"/>
      <c r="AN32" s="78"/>
      <c r="AO32" s="353"/>
      <c r="AP32" s="354"/>
      <c r="AQ32" s="354"/>
      <c r="AR32" s="354"/>
      <c r="AS32" s="354"/>
      <c r="AT32" s="355"/>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row>
    <row r="33" spans="1:80" x14ac:dyDescent="0.35">
      <c r="A33" s="78"/>
      <c r="B33" s="321"/>
      <c r="C33" s="321"/>
      <c r="D33" s="322"/>
      <c r="E33" s="314"/>
      <c r="F33" s="315"/>
      <c r="G33" s="315"/>
      <c r="H33" s="315"/>
      <c r="I33" s="315"/>
      <c r="J33" s="274"/>
      <c r="K33" s="275"/>
      <c r="L33" s="275"/>
      <c r="M33" s="275"/>
      <c r="N33" s="275"/>
      <c r="O33" s="276"/>
      <c r="P33" s="284"/>
      <c r="Q33" s="284"/>
      <c r="R33" s="284"/>
      <c r="S33" s="284"/>
      <c r="T33" s="284"/>
      <c r="U33" s="285"/>
      <c r="V33" s="283"/>
      <c r="W33" s="284"/>
      <c r="X33" s="284"/>
      <c r="Y33" s="284"/>
      <c r="Z33" s="284"/>
      <c r="AA33" s="285"/>
      <c r="AB33" s="301"/>
      <c r="AC33" s="302"/>
      <c r="AD33" s="302"/>
      <c r="AE33" s="302"/>
      <c r="AF33" s="302"/>
      <c r="AG33" s="303"/>
      <c r="AH33" s="292"/>
      <c r="AI33" s="293"/>
      <c r="AJ33" s="293"/>
      <c r="AK33" s="293"/>
      <c r="AL33" s="293"/>
      <c r="AM33" s="294"/>
      <c r="AN33" s="78"/>
      <c r="AO33" s="353"/>
      <c r="AP33" s="354"/>
      <c r="AQ33" s="354"/>
      <c r="AR33" s="354"/>
      <c r="AS33" s="354"/>
      <c r="AT33" s="355"/>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row>
    <row r="34" spans="1:80" x14ac:dyDescent="0.35">
      <c r="A34" s="78"/>
      <c r="B34" s="321"/>
      <c r="C34" s="321"/>
      <c r="D34" s="322"/>
      <c r="E34" s="314"/>
      <c r="F34" s="315"/>
      <c r="G34" s="315"/>
      <c r="H34" s="315"/>
      <c r="I34" s="315"/>
      <c r="J34" s="274" t="e">
        <f>IF(AND('Mapa final'!#REF!="Baja",'Mapa final'!#REF!="Leve"),CONCATENATE("R",'Mapa final'!#REF!),"")</f>
        <v>#REF!</v>
      </c>
      <c r="K34" s="275"/>
      <c r="L34" s="275" t="e">
        <f>IF(AND('Mapa final'!#REF!="Baja",'Mapa final'!#REF!="Leve"),CONCATENATE("R",'Mapa final'!#REF!),"")</f>
        <v>#REF!</v>
      </c>
      <c r="M34" s="275"/>
      <c r="N34" s="275" t="str">
        <f>IF(AND('Mapa final'!$J$38="Baja",'Mapa final'!$N$38="Leve"),CONCATENATE("R",'Mapa final'!$C$38),"")</f>
        <v/>
      </c>
      <c r="O34" s="276"/>
      <c r="P34" s="284" t="e">
        <f>IF(AND('Mapa final'!#REF!="Baja",'Mapa final'!#REF!="Menor"),CONCATENATE("R",'Mapa final'!#REF!),"")</f>
        <v>#REF!</v>
      </c>
      <c r="Q34" s="284"/>
      <c r="R34" s="284" t="e">
        <f>IF(AND('Mapa final'!#REF!="Baja",'Mapa final'!#REF!="Menor"),CONCATENATE("R",'Mapa final'!#REF!),"")</f>
        <v>#REF!</v>
      </c>
      <c r="S34" s="284"/>
      <c r="T34" s="284" t="str">
        <f>IF(AND('Mapa final'!$J$38="Baja",'Mapa final'!$N$38="Menor"),CONCATENATE("R",'Mapa final'!$C$38),"")</f>
        <v/>
      </c>
      <c r="U34" s="285"/>
      <c r="V34" s="283" t="e">
        <f>IF(AND('Mapa final'!#REF!="Baja",'Mapa final'!#REF!="Moderado"),CONCATENATE("R",'Mapa final'!#REF!),"")</f>
        <v>#REF!</v>
      </c>
      <c r="W34" s="284"/>
      <c r="X34" s="284" t="e">
        <f>IF(AND('Mapa final'!#REF!="Baja",'Mapa final'!#REF!="Moderado"),CONCATENATE("R",'Mapa final'!#REF!),"")</f>
        <v>#REF!</v>
      </c>
      <c r="Y34" s="284"/>
      <c r="Z34" s="284" t="str">
        <f>IF(AND('Mapa final'!$J$38="Baja",'Mapa final'!$N$38="Moderado"),CONCATENATE("R",'Mapa final'!$C$38),"")</f>
        <v/>
      </c>
      <c r="AA34" s="285"/>
      <c r="AB34" s="301" t="e">
        <f>IF(AND('Mapa final'!#REF!="Baja",'Mapa final'!#REF!="Mayor"),CONCATENATE("R",'Mapa final'!#REF!),"")</f>
        <v>#REF!</v>
      </c>
      <c r="AC34" s="302"/>
      <c r="AD34" s="302" t="e">
        <f>IF(AND('Mapa final'!#REF!="Baja",'Mapa final'!#REF!="Mayor"),CONCATENATE("R",'Mapa final'!#REF!),"")</f>
        <v>#REF!</v>
      </c>
      <c r="AE34" s="302"/>
      <c r="AF34" s="302" t="str">
        <f>IF(AND('Mapa final'!$J$38="Baja",'Mapa final'!$N$38="Mayor"),CONCATENATE("R",'Mapa final'!$C$38),"")</f>
        <v/>
      </c>
      <c r="AG34" s="303"/>
      <c r="AH34" s="292" t="e">
        <f>IF(AND('Mapa final'!#REF!="Baja",'Mapa final'!#REF!="Catastrófico"),CONCATENATE("R",'Mapa final'!#REF!),"")</f>
        <v>#REF!</v>
      </c>
      <c r="AI34" s="293"/>
      <c r="AJ34" s="293" t="e">
        <f>IF(AND('Mapa final'!#REF!="Baja",'Mapa final'!#REF!="Catastrófico"),CONCATENATE("R",'Mapa final'!#REF!),"")</f>
        <v>#REF!</v>
      </c>
      <c r="AK34" s="293"/>
      <c r="AL34" s="293" t="str">
        <f>IF(AND('Mapa final'!$J$38="Baja",'Mapa final'!$N$38="Catastrófico"),CONCATENATE("R",'Mapa final'!$C$38),"")</f>
        <v/>
      </c>
      <c r="AM34" s="294"/>
      <c r="AN34" s="78"/>
      <c r="AO34" s="353"/>
      <c r="AP34" s="354"/>
      <c r="AQ34" s="354"/>
      <c r="AR34" s="354"/>
      <c r="AS34" s="354"/>
      <c r="AT34" s="355"/>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row>
    <row r="35" spans="1:80" x14ac:dyDescent="0.35">
      <c r="A35" s="78"/>
      <c r="B35" s="321"/>
      <c r="C35" s="321"/>
      <c r="D35" s="322"/>
      <c r="E35" s="314"/>
      <c r="F35" s="315"/>
      <c r="G35" s="315"/>
      <c r="H35" s="315"/>
      <c r="I35" s="315"/>
      <c r="J35" s="274"/>
      <c r="K35" s="275"/>
      <c r="L35" s="275"/>
      <c r="M35" s="275"/>
      <c r="N35" s="275"/>
      <c r="O35" s="276"/>
      <c r="P35" s="284"/>
      <c r="Q35" s="284"/>
      <c r="R35" s="284"/>
      <c r="S35" s="284"/>
      <c r="T35" s="284"/>
      <c r="U35" s="285"/>
      <c r="V35" s="283"/>
      <c r="W35" s="284"/>
      <c r="X35" s="284"/>
      <c r="Y35" s="284"/>
      <c r="Z35" s="284"/>
      <c r="AA35" s="285"/>
      <c r="AB35" s="301"/>
      <c r="AC35" s="302"/>
      <c r="AD35" s="302"/>
      <c r="AE35" s="302"/>
      <c r="AF35" s="302"/>
      <c r="AG35" s="303"/>
      <c r="AH35" s="292"/>
      <c r="AI35" s="293"/>
      <c r="AJ35" s="293"/>
      <c r="AK35" s="293"/>
      <c r="AL35" s="293"/>
      <c r="AM35" s="294"/>
      <c r="AN35" s="78"/>
      <c r="AO35" s="353"/>
      <c r="AP35" s="354"/>
      <c r="AQ35" s="354"/>
      <c r="AR35" s="354"/>
      <c r="AS35" s="354"/>
      <c r="AT35" s="355"/>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row>
    <row r="36" spans="1:80" x14ac:dyDescent="0.35">
      <c r="A36" s="78"/>
      <c r="B36" s="321"/>
      <c r="C36" s="321"/>
      <c r="D36" s="322"/>
      <c r="E36" s="314"/>
      <c r="F36" s="315"/>
      <c r="G36" s="315"/>
      <c r="H36" s="315"/>
      <c r="I36" s="315"/>
      <c r="J36" s="274" t="e">
        <f>IF(AND('Mapa final'!#REF!="Baja",'Mapa final'!#REF!="Leve"),CONCATENATE("R",'Mapa final'!#REF!),"")</f>
        <v>#REF!</v>
      </c>
      <c r="K36" s="275"/>
      <c r="L36" s="275" t="str">
        <f>IF(AND('Mapa final'!$J$60="Baja",'Mapa final'!$N$60="Leve"),CONCATENATE("R",'Mapa final'!$C$60),"")</f>
        <v/>
      </c>
      <c r="M36" s="275"/>
      <c r="N36" s="275" t="str">
        <f>IF(AND('Mapa final'!$J$66="Baja",'Mapa final'!$N$66="Leve"),CONCATENATE("R",'Mapa final'!$C$66),"")</f>
        <v/>
      </c>
      <c r="O36" s="276"/>
      <c r="P36" s="284" t="e">
        <f>IF(AND('Mapa final'!#REF!="Baja",'Mapa final'!#REF!="Menor"),CONCATENATE("R",'Mapa final'!#REF!),"")</f>
        <v>#REF!</v>
      </c>
      <c r="Q36" s="284"/>
      <c r="R36" s="284" t="str">
        <f>IF(AND('Mapa final'!$J$60="Baja",'Mapa final'!$N$60="Menor"),CONCATENATE("R",'Mapa final'!$C$60),"")</f>
        <v/>
      </c>
      <c r="S36" s="284"/>
      <c r="T36" s="284" t="str">
        <f>IF(AND('Mapa final'!$J$66="Baja",'Mapa final'!$N$66="Menor"),CONCATENATE("R",'Mapa final'!$C$66),"")</f>
        <v/>
      </c>
      <c r="U36" s="285"/>
      <c r="V36" s="283" t="e">
        <f>IF(AND('Mapa final'!#REF!="Baja",'Mapa final'!#REF!="Moderado"),CONCATENATE("R",'Mapa final'!#REF!),"")</f>
        <v>#REF!</v>
      </c>
      <c r="W36" s="284"/>
      <c r="X36" s="284" t="str">
        <f>IF(AND('Mapa final'!$J$60="Baja",'Mapa final'!$N$60="Moderado"),CONCATENATE("R",'Mapa final'!$C$60),"")</f>
        <v/>
      </c>
      <c r="Y36" s="284"/>
      <c r="Z36" s="284" t="str">
        <f>IF(AND('Mapa final'!$J$66="Baja",'Mapa final'!$N$66="Moderado"),CONCATENATE("R",'Mapa final'!$C$66),"")</f>
        <v/>
      </c>
      <c r="AA36" s="285"/>
      <c r="AB36" s="301" t="e">
        <f>IF(AND('Mapa final'!#REF!="Baja",'Mapa final'!#REF!="Mayor"),CONCATENATE("R",'Mapa final'!#REF!),"")</f>
        <v>#REF!</v>
      </c>
      <c r="AC36" s="302"/>
      <c r="AD36" s="302" t="str">
        <f>IF(AND('Mapa final'!$J$60="Baja",'Mapa final'!$N$60="Mayor"),CONCATENATE("R",'Mapa final'!$C$60),"")</f>
        <v/>
      </c>
      <c r="AE36" s="302"/>
      <c r="AF36" s="302" t="str">
        <f>IF(AND('Mapa final'!$J$66="Baja",'Mapa final'!$N$66="Mayor"),CONCATENATE("R",'Mapa final'!$C$66),"")</f>
        <v/>
      </c>
      <c r="AG36" s="303"/>
      <c r="AH36" s="292" t="e">
        <f>IF(AND('Mapa final'!#REF!="Baja",'Mapa final'!#REF!="Catastrófico"),CONCATENATE("R",'Mapa final'!#REF!),"")</f>
        <v>#REF!</v>
      </c>
      <c r="AI36" s="293"/>
      <c r="AJ36" s="293" t="str">
        <f>IF(AND('Mapa final'!$J$60="Baja",'Mapa final'!$N$60="Catastrófico"),CONCATENATE("R",'Mapa final'!$C$60),"")</f>
        <v/>
      </c>
      <c r="AK36" s="293"/>
      <c r="AL36" s="293" t="str">
        <f>IF(AND('Mapa final'!$J$66="Baja",'Mapa final'!$N$66="Catastrófico"),CONCATENATE("R",'Mapa final'!$C$66),"")</f>
        <v/>
      </c>
      <c r="AM36" s="294"/>
      <c r="AN36" s="78"/>
      <c r="AO36" s="353"/>
      <c r="AP36" s="354"/>
      <c r="AQ36" s="354"/>
      <c r="AR36" s="354"/>
      <c r="AS36" s="354"/>
      <c r="AT36" s="355"/>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row>
    <row r="37" spans="1:80" ht="15" thickBot="1" x14ac:dyDescent="0.4">
      <c r="A37" s="78"/>
      <c r="B37" s="321"/>
      <c r="C37" s="321"/>
      <c r="D37" s="322"/>
      <c r="E37" s="317"/>
      <c r="F37" s="318"/>
      <c r="G37" s="318"/>
      <c r="H37" s="318"/>
      <c r="I37" s="318"/>
      <c r="J37" s="277"/>
      <c r="K37" s="278"/>
      <c r="L37" s="278"/>
      <c r="M37" s="278"/>
      <c r="N37" s="278"/>
      <c r="O37" s="279"/>
      <c r="P37" s="287"/>
      <c r="Q37" s="287"/>
      <c r="R37" s="287"/>
      <c r="S37" s="287"/>
      <c r="T37" s="287"/>
      <c r="U37" s="288"/>
      <c r="V37" s="286"/>
      <c r="W37" s="287"/>
      <c r="X37" s="287"/>
      <c r="Y37" s="287"/>
      <c r="Z37" s="287"/>
      <c r="AA37" s="288"/>
      <c r="AB37" s="304"/>
      <c r="AC37" s="305"/>
      <c r="AD37" s="305"/>
      <c r="AE37" s="305"/>
      <c r="AF37" s="305"/>
      <c r="AG37" s="306"/>
      <c r="AH37" s="295"/>
      <c r="AI37" s="296"/>
      <c r="AJ37" s="296"/>
      <c r="AK37" s="296"/>
      <c r="AL37" s="296"/>
      <c r="AM37" s="297"/>
      <c r="AN37" s="78"/>
      <c r="AO37" s="356"/>
      <c r="AP37" s="357"/>
      <c r="AQ37" s="357"/>
      <c r="AR37" s="357"/>
      <c r="AS37" s="357"/>
      <c r="AT37" s="35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row>
    <row r="38" spans="1:80" x14ac:dyDescent="0.35">
      <c r="A38" s="78"/>
      <c r="B38" s="321"/>
      <c r="C38" s="321"/>
      <c r="D38" s="322"/>
      <c r="E38" s="311" t="s">
        <v>112</v>
      </c>
      <c r="F38" s="312"/>
      <c r="G38" s="312"/>
      <c r="H38" s="312"/>
      <c r="I38" s="313"/>
      <c r="J38" s="280" t="str">
        <f>IF(AND('Mapa final'!$J$6="Muy Baja",'Mapa final'!$N$6="Leve"),CONCATENATE("R",'Mapa final'!$C$6),"")</f>
        <v/>
      </c>
      <c r="K38" s="281"/>
      <c r="L38" s="281" t="str">
        <f>IF(AND('Mapa final'!$J$12="Muy Baja",'Mapa final'!$N$12="Leve"),CONCATENATE("R",'Mapa final'!$C$12),"")</f>
        <v/>
      </c>
      <c r="M38" s="281"/>
      <c r="N38" s="281" t="e">
        <f>IF(AND('Mapa final'!#REF!="Muy Baja",'Mapa final'!#REF!="Leve"),CONCATENATE("R",'Mapa final'!#REF!),"")</f>
        <v>#REF!</v>
      </c>
      <c r="O38" s="282"/>
      <c r="P38" s="280" t="str">
        <f>IF(AND('Mapa final'!$J$6="Muy Baja",'Mapa final'!$N$6="Menor"),CONCATENATE("R",'Mapa final'!$C$6),"")</f>
        <v/>
      </c>
      <c r="Q38" s="281"/>
      <c r="R38" s="281" t="str">
        <f>IF(AND('Mapa final'!$J$12="Muy Baja",'Mapa final'!$N$12="Menor"),CONCATENATE("R",'Mapa final'!$C$12),"")</f>
        <v/>
      </c>
      <c r="S38" s="281"/>
      <c r="T38" s="281" t="e">
        <f>IF(AND('Mapa final'!#REF!="Muy Baja",'Mapa final'!#REF!="Menor"),CONCATENATE("R",'Mapa final'!#REF!),"")</f>
        <v>#REF!</v>
      </c>
      <c r="U38" s="282"/>
      <c r="V38" s="289" t="str">
        <f>IF(AND('Mapa final'!$J$6="Muy Baja",'Mapa final'!$N$6="Moderado"),CONCATENATE("R",'Mapa final'!$C$6),"")</f>
        <v/>
      </c>
      <c r="W38" s="290"/>
      <c r="X38" s="290" t="str">
        <f>IF(AND('Mapa final'!$J$12="Muy Baja",'Mapa final'!$N$12="Moderado"),CONCATENATE("R",'Mapa final'!$C$12),"")</f>
        <v/>
      </c>
      <c r="Y38" s="290"/>
      <c r="Z38" s="290" t="e">
        <f>IF(AND('Mapa final'!#REF!="Muy Baja",'Mapa final'!#REF!="Moderado"),CONCATENATE("R",'Mapa final'!#REF!),"")</f>
        <v>#REF!</v>
      </c>
      <c r="AA38" s="291"/>
      <c r="AB38" s="307" t="str">
        <f>IF(AND('Mapa final'!$J$6="Muy Baja",'Mapa final'!$N$6="Mayor"),CONCATENATE("R",'Mapa final'!$C$6),"")</f>
        <v/>
      </c>
      <c r="AC38" s="308"/>
      <c r="AD38" s="308" t="str">
        <f>IF(AND('Mapa final'!$J$12="Muy Baja",'Mapa final'!$N$12="Mayor"),CONCATENATE("R",'Mapa final'!$C$12),"")</f>
        <v/>
      </c>
      <c r="AE38" s="308"/>
      <c r="AF38" s="308" t="e">
        <f>IF(AND('Mapa final'!#REF!="Muy Baja",'Mapa final'!#REF!="Mayor"),CONCATENATE("R",'Mapa final'!#REF!),"")</f>
        <v>#REF!</v>
      </c>
      <c r="AG38" s="309"/>
      <c r="AH38" s="298" t="str">
        <f>IF(AND('Mapa final'!$J$6="Muy Baja",'Mapa final'!$N$6="Catastrófico"),CONCATENATE("R",'Mapa final'!$C$6),"")</f>
        <v/>
      </c>
      <c r="AI38" s="299"/>
      <c r="AJ38" s="299" t="str">
        <f>IF(AND('Mapa final'!$J$12="Muy Baja",'Mapa final'!$N$12="Catastrófico"),CONCATENATE("R",'Mapa final'!$C$12),"")</f>
        <v/>
      </c>
      <c r="AK38" s="299"/>
      <c r="AL38" s="299" t="e">
        <f>IF(AND('Mapa final'!#REF!="Muy Baja",'Mapa final'!#REF!="Catastrófico"),CONCATENATE("R",'Mapa final'!#REF!),"")</f>
        <v>#REF!</v>
      </c>
      <c r="AM38" s="300"/>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row>
    <row r="39" spans="1:80" x14ac:dyDescent="0.35">
      <c r="A39" s="78"/>
      <c r="B39" s="321"/>
      <c r="C39" s="321"/>
      <c r="D39" s="322"/>
      <c r="E39" s="314"/>
      <c r="F39" s="315"/>
      <c r="G39" s="315"/>
      <c r="H39" s="315"/>
      <c r="I39" s="316"/>
      <c r="J39" s="274"/>
      <c r="K39" s="275"/>
      <c r="L39" s="275"/>
      <c r="M39" s="275"/>
      <c r="N39" s="275"/>
      <c r="O39" s="276"/>
      <c r="P39" s="274"/>
      <c r="Q39" s="275"/>
      <c r="R39" s="275"/>
      <c r="S39" s="275"/>
      <c r="T39" s="275"/>
      <c r="U39" s="276"/>
      <c r="V39" s="283"/>
      <c r="W39" s="284"/>
      <c r="X39" s="284"/>
      <c r="Y39" s="284"/>
      <c r="Z39" s="284"/>
      <c r="AA39" s="285"/>
      <c r="AB39" s="301"/>
      <c r="AC39" s="302"/>
      <c r="AD39" s="302"/>
      <c r="AE39" s="302"/>
      <c r="AF39" s="302"/>
      <c r="AG39" s="303"/>
      <c r="AH39" s="292"/>
      <c r="AI39" s="293"/>
      <c r="AJ39" s="293"/>
      <c r="AK39" s="293"/>
      <c r="AL39" s="293"/>
      <c r="AM39" s="294"/>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row>
    <row r="40" spans="1:80" x14ac:dyDescent="0.35">
      <c r="A40" s="78"/>
      <c r="B40" s="321"/>
      <c r="C40" s="321"/>
      <c r="D40" s="322"/>
      <c r="E40" s="314"/>
      <c r="F40" s="315"/>
      <c r="G40" s="315"/>
      <c r="H40" s="315"/>
      <c r="I40" s="316"/>
      <c r="J40" s="274" t="str">
        <f>IF(AND('Mapa final'!$J$19="Muy Baja",'Mapa final'!$N$19="Leve"),CONCATENATE("R",'Mapa final'!$C$19),"")</f>
        <v/>
      </c>
      <c r="K40" s="275"/>
      <c r="L40" s="275" t="e">
        <f>IF(AND('Mapa final'!#REF!="Muy Baja",'Mapa final'!#REF!="Leve"),CONCATENATE("R",'Mapa final'!#REF!),"")</f>
        <v>#REF!</v>
      </c>
      <c r="M40" s="275"/>
      <c r="N40" s="275" t="str">
        <f>IF(AND('Mapa final'!$J$29="Muy Baja",'Mapa final'!$N$29="Leve"),CONCATENATE("R",'Mapa final'!$C$29),"")</f>
        <v/>
      </c>
      <c r="O40" s="276"/>
      <c r="P40" s="274" t="str">
        <f>IF(AND('Mapa final'!$J$19="Muy Baja",'Mapa final'!$N$19="Menor"),CONCATENATE("R",'Mapa final'!$C$19),"")</f>
        <v/>
      </c>
      <c r="Q40" s="275"/>
      <c r="R40" s="275" t="e">
        <f>IF(AND('Mapa final'!#REF!="Muy Baja",'Mapa final'!#REF!="Menor"),CONCATENATE("R",'Mapa final'!#REF!),"")</f>
        <v>#REF!</v>
      </c>
      <c r="S40" s="275"/>
      <c r="T40" s="275" t="str">
        <f>IF(AND('Mapa final'!$J$29="Muy Baja",'Mapa final'!$N$29="Menor"),CONCATENATE("R",'Mapa final'!$C$29),"")</f>
        <v/>
      </c>
      <c r="U40" s="276"/>
      <c r="V40" s="283" t="str">
        <f>IF(AND('Mapa final'!$J$19="Muy Baja",'Mapa final'!$N$19="Moderado"),CONCATENATE("R",'Mapa final'!$C$19),"")</f>
        <v/>
      </c>
      <c r="W40" s="284"/>
      <c r="X40" s="284" t="e">
        <f>IF(AND('Mapa final'!#REF!="Muy Baja",'Mapa final'!#REF!="Moderado"),CONCATENATE("R",'Mapa final'!#REF!),"")</f>
        <v>#REF!</v>
      </c>
      <c r="Y40" s="284"/>
      <c r="Z40" s="284" t="str">
        <f>IF(AND('Mapa final'!$J$29="Muy Baja",'Mapa final'!$N$29="Moderado"),CONCATENATE("R",'Mapa final'!$C$29),"")</f>
        <v/>
      </c>
      <c r="AA40" s="285"/>
      <c r="AB40" s="301" t="str">
        <f>IF(AND('Mapa final'!$J$19="Muy Baja",'Mapa final'!$N$19="Mayor"),CONCATENATE("R",'Mapa final'!$C$19),"")</f>
        <v/>
      </c>
      <c r="AC40" s="302"/>
      <c r="AD40" s="302" t="e">
        <f>IF(AND('Mapa final'!#REF!="Muy Baja",'Mapa final'!#REF!="Mayor"),CONCATENATE("R",'Mapa final'!#REF!),"")</f>
        <v>#REF!</v>
      </c>
      <c r="AE40" s="302"/>
      <c r="AF40" s="302" t="str">
        <f>IF(AND('Mapa final'!$J$29="Muy Baja",'Mapa final'!$N$29="Mayor"),CONCATENATE("R",'Mapa final'!$C$29),"")</f>
        <v/>
      </c>
      <c r="AG40" s="303"/>
      <c r="AH40" s="292" t="str">
        <f>IF(AND('Mapa final'!$J$19="Muy Baja",'Mapa final'!$N$19="Catastrófico"),CONCATENATE("R",'Mapa final'!$C$19),"")</f>
        <v/>
      </c>
      <c r="AI40" s="293"/>
      <c r="AJ40" s="293" t="e">
        <f>IF(AND('Mapa final'!#REF!="Muy Baja",'Mapa final'!#REF!="Catastrófico"),CONCATENATE("R",'Mapa final'!#REF!),"")</f>
        <v>#REF!</v>
      </c>
      <c r="AK40" s="293"/>
      <c r="AL40" s="293" t="str">
        <f>IF(AND('Mapa final'!$J$29="Muy Baja",'Mapa final'!$N$29="Catastrófico"),CONCATENATE("R",'Mapa final'!$C$29),"")</f>
        <v/>
      </c>
      <c r="AM40" s="294"/>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row>
    <row r="41" spans="1:80" x14ac:dyDescent="0.35">
      <c r="A41" s="78"/>
      <c r="B41" s="321"/>
      <c r="C41" s="321"/>
      <c r="D41" s="322"/>
      <c r="E41" s="314"/>
      <c r="F41" s="315"/>
      <c r="G41" s="315"/>
      <c r="H41" s="315"/>
      <c r="I41" s="316"/>
      <c r="J41" s="274"/>
      <c r="K41" s="275"/>
      <c r="L41" s="275"/>
      <c r="M41" s="275"/>
      <c r="N41" s="275"/>
      <c r="O41" s="276"/>
      <c r="P41" s="274"/>
      <c r="Q41" s="275"/>
      <c r="R41" s="275"/>
      <c r="S41" s="275"/>
      <c r="T41" s="275"/>
      <c r="U41" s="276"/>
      <c r="V41" s="283"/>
      <c r="W41" s="284"/>
      <c r="X41" s="284"/>
      <c r="Y41" s="284"/>
      <c r="Z41" s="284"/>
      <c r="AA41" s="285"/>
      <c r="AB41" s="301"/>
      <c r="AC41" s="302"/>
      <c r="AD41" s="302"/>
      <c r="AE41" s="302"/>
      <c r="AF41" s="302"/>
      <c r="AG41" s="303"/>
      <c r="AH41" s="292"/>
      <c r="AI41" s="293"/>
      <c r="AJ41" s="293"/>
      <c r="AK41" s="293"/>
      <c r="AL41" s="293"/>
      <c r="AM41" s="294"/>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row>
    <row r="42" spans="1:80" x14ac:dyDescent="0.35">
      <c r="A42" s="78"/>
      <c r="B42" s="321"/>
      <c r="C42" s="321"/>
      <c r="D42" s="322"/>
      <c r="E42" s="314"/>
      <c r="F42" s="315"/>
      <c r="G42" s="315"/>
      <c r="H42" s="315"/>
      <c r="I42" s="316"/>
      <c r="J42" s="274" t="e">
        <f>IF(AND('Mapa final'!#REF!="Muy Baja",'Mapa final'!#REF!="Leve"),CONCATENATE("R",'Mapa final'!#REF!),"")</f>
        <v>#REF!</v>
      </c>
      <c r="K42" s="275"/>
      <c r="L42" s="275" t="e">
        <f>IF(AND('Mapa final'!#REF!="Muy Baja",'Mapa final'!#REF!="Leve"),CONCATENATE("R",'Mapa final'!#REF!),"")</f>
        <v>#REF!</v>
      </c>
      <c r="M42" s="275"/>
      <c r="N42" s="275" t="str">
        <f>IF(AND('Mapa final'!$J$38="Muy Baja",'Mapa final'!$N$38="Leve"),CONCATENATE("R",'Mapa final'!$C$38),"")</f>
        <v/>
      </c>
      <c r="O42" s="276"/>
      <c r="P42" s="274" t="e">
        <f>IF(AND('Mapa final'!#REF!="Muy Baja",'Mapa final'!#REF!="Menor"),CONCATENATE("R",'Mapa final'!#REF!),"")</f>
        <v>#REF!</v>
      </c>
      <c r="Q42" s="275"/>
      <c r="R42" s="275" t="e">
        <f>IF(AND('Mapa final'!#REF!="Muy Baja",'Mapa final'!#REF!="Menor"),CONCATENATE("R",'Mapa final'!#REF!),"")</f>
        <v>#REF!</v>
      </c>
      <c r="S42" s="275"/>
      <c r="T42" s="275" t="str">
        <f>IF(AND('Mapa final'!$J$38="Muy Baja",'Mapa final'!$N$38="Menor"),CONCATENATE("R",'Mapa final'!$C$38),"")</f>
        <v/>
      </c>
      <c r="U42" s="276"/>
      <c r="V42" s="283" t="e">
        <f>IF(AND('Mapa final'!#REF!="Muy Baja",'Mapa final'!#REF!="Moderado"),CONCATENATE("R",'Mapa final'!#REF!),"")</f>
        <v>#REF!</v>
      </c>
      <c r="W42" s="284"/>
      <c r="X42" s="284" t="e">
        <f>IF(AND('Mapa final'!#REF!="Muy Baja",'Mapa final'!#REF!="Moderado"),CONCATENATE("R",'Mapa final'!#REF!),"")</f>
        <v>#REF!</v>
      </c>
      <c r="Y42" s="284"/>
      <c r="Z42" s="284" t="str">
        <f>IF(AND('Mapa final'!$J$38="Muy Baja",'Mapa final'!$N$38="Moderado"),CONCATENATE("R",'Mapa final'!$C$38),"")</f>
        <v/>
      </c>
      <c r="AA42" s="285"/>
      <c r="AB42" s="301" t="e">
        <f>IF(AND('Mapa final'!#REF!="Muy Baja",'Mapa final'!#REF!="Mayor"),CONCATENATE("R",'Mapa final'!#REF!),"")</f>
        <v>#REF!</v>
      </c>
      <c r="AC42" s="302"/>
      <c r="AD42" s="302" t="e">
        <f>IF(AND('Mapa final'!#REF!="Muy Baja",'Mapa final'!#REF!="Mayor"),CONCATENATE("R",'Mapa final'!#REF!),"")</f>
        <v>#REF!</v>
      </c>
      <c r="AE42" s="302"/>
      <c r="AF42" s="302" t="str">
        <f>IF(AND('Mapa final'!$J$38="Muy Baja",'Mapa final'!$N$38="Mayor"),CONCATENATE("R",'Mapa final'!$C$38),"")</f>
        <v/>
      </c>
      <c r="AG42" s="303"/>
      <c r="AH42" s="292" t="e">
        <f>IF(AND('Mapa final'!#REF!="Muy Baja",'Mapa final'!#REF!="Catastrófico"),CONCATENATE("R",'Mapa final'!#REF!),"")</f>
        <v>#REF!</v>
      </c>
      <c r="AI42" s="293"/>
      <c r="AJ42" s="293" t="e">
        <f>IF(AND('Mapa final'!#REF!="Muy Baja",'Mapa final'!#REF!="Catastrófico"),CONCATENATE("R",'Mapa final'!#REF!),"")</f>
        <v>#REF!</v>
      </c>
      <c r="AK42" s="293"/>
      <c r="AL42" s="293" t="str">
        <f>IF(AND('Mapa final'!$J$38="Muy Baja",'Mapa final'!$N$38="Catastrófico"),CONCATENATE("R",'Mapa final'!$C$38),"")</f>
        <v/>
      </c>
      <c r="AM42" s="294"/>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row>
    <row r="43" spans="1:80" x14ac:dyDescent="0.35">
      <c r="A43" s="78"/>
      <c r="B43" s="321"/>
      <c r="C43" s="321"/>
      <c r="D43" s="322"/>
      <c r="E43" s="314"/>
      <c r="F43" s="315"/>
      <c r="G43" s="315"/>
      <c r="H43" s="315"/>
      <c r="I43" s="316"/>
      <c r="J43" s="274"/>
      <c r="K43" s="275"/>
      <c r="L43" s="275"/>
      <c r="M43" s="275"/>
      <c r="N43" s="275"/>
      <c r="O43" s="276"/>
      <c r="P43" s="274"/>
      <c r="Q43" s="275"/>
      <c r="R43" s="275"/>
      <c r="S43" s="275"/>
      <c r="T43" s="275"/>
      <c r="U43" s="276"/>
      <c r="V43" s="283"/>
      <c r="W43" s="284"/>
      <c r="X43" s="284"/>
      <c r="Y43" s="284"/>
      <c r="Z43" s="284"/>
      <c r="AA43" s="285"/>
      <c r="AB43" s="301"/>
      <c r="AC43" s="302"/>
      <c r="AD43" s="302"/>
      <c r="AE43" s="302"/>
      <c r="AF43" s="302"/>
      <c r="AG43" s="303"/>
      <c r="AH43" s="292"/>
      <c r="AI43" s="293"/>
      <c r="AJ43" s="293"/>
      <c r="AK43" s="293"/>
      <c r="AL43" s="293"/>
      <c r="AM43" s="294"/>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row>
    <row r="44" spans="1:80" x14ac:dyDescent="0.35">
      <c r="A44" s="78"/>
      <c r="B44" s="321"/>
      <c r="C44" s="321"/>
      <c r="D44" s="322"/>
      <c r="E44" s="314"/>
      <c r="F44" s="315"/>
      <c r="G44" s="315"/>
      <c r="H44" s="315"/>
      <c r="I44" s="316"/>
      <c r="J44" s="274" t="e">
        <f>IF(AND('Mapa final'!#REF!="Muy Baja",'Mapa final'!#REF!="Leve"),CONCATENATE("R",'Mapa final'!#REF!),"")</f>
        <v>#REF!</v>
      </c>
      <c r="K44" s="275"/>
      <c r="L44" s="275" t="str">
        <f>IF(AND('Mapa final'!$J$60="Muy Baja",'Mapa final'!$N$60="Leve"),CONCATENATE("R",'Mapa final'!$C$60),"")</f>
        <v/>
      </c>
      <c r="M44" s="275"/>
      <c r="N44" s="275" t="str">
        <f>IF(AND('Mapa final'!$J$66="Muy Baja",'Mapa final'!$N$66="Leve"),CONCATENATE("R",'Mapa final'!$C$66),"")</f>
        <v/>
      </c>
      <c r="O44" s="276"/>
      <c r="P44" s="274" t="e">
        <f>IF(AND('Mapa final'!#REF!="Muy Baja",'Mapa final'!#REF!="Menor"),CONCATENATE("R",'Mapa final'!#REF!),"")</f>
        <v>#REF!</v>
      </c>
      <c r="Q44" s="275"/>
      <c r="R44" s="275" t="str">
        <f>IF(AND('Mapa final'!$J$60="Muy Baja",'Mapa final'!$N$60="Menor"),CONCATENATE("R",'Mapa final'!$C$60),"")</f>
        <v/>
      </c>
      <c r="S44" s="275"/>
      <c r="T44" s="275" t="str">
        <f>IF(AND('Mapa final'!$J$66="Muy Baja",'Mapa final'!$N$66="Menor"),CONCATENATE("R",'Mapa final'!$C$66),"")</f>
        <v/>
      </c>
      <c r="U44" s="276"/>
      <c r="V44" s="283" t="e">
        <f>IF(AND('Mapa final'!#REF!="Muy Baja",'Mapa final'!#REF!="Moderado"),CONCATENATE("R",'Mapa final'!#REF!),"")</f>
        <v>#REF!</v>
      </c>
      <c r="W44" s="284"/>
      <c r="X44" s="284" t="str">
        <f>IF(AND('Mapa final'!$J$60="Muy Baja",'Mapa final'!$N$60="Moderado"),CONCATENATE("R",'Mapa final'!$C$60),"")</f>
        <v/>
      </c>
      <c r="Y44" s="284"/>
      <c r="Z44" s="284" t="str">
        <f>IF(AND('Mapa final'!$J$66="Muy Baja",'Mapa final'!$N$66="Moderado"),CONCATENATE("R",'Mapa final'!$C$66),"")</f>
        <v/>
      </c>
      <c r="AA44" s="285"/>
      <c r="AB44" s="301" t="e">
        <f>IF(AND('Mapa final'!#REF!="Muy Baja",'Mapa final'!#REF!="Mayor"),CONCATENATE("R",'Mapa final'!#REF!),"")</f>
        <v>#REF!</v>
      </c>
      <c r="AC44" s="302"/>
      <c r="AD44" s="302" t="str">
        <f>IF(AND('Mapa final'!$J$60="Muy Baja",'Mapa final'!$N$60="Mayor"),CONCATENATE("R",'Mapa final'!$C$60),"")</f>
        <v/>
      </c>
      <c r="AE44" s="302"/>
      <c r="AF44" s="302" t="str">
        <f>IF(AND('Mapa final'!$J$66="Muy Baja",'Mapa final'!$N$66="Mayor"),CONCATENATE("R",'Mapa final'!$C$66),"")</f>
        <v/>
      </c>
      <c r="AG44" s="303"/>
      <c r="AH44" s="292" t="e">
        <f>IF(AND('Mapa final'!#REF!="Muy Baja",'Mapa final'!#REF!="Catastrófico"),CONCATENATE("R",'Mapa final'!#REF!),"")</f>
        <v>#REF!</v>
      </c>
      <c r="AI44" s="293"/>
      <c r="AJ44" s="293" t="str">
        <f>IF(AND('Mapa final'!$J$60="Muy Baja",'Mapa final'!$N$60="Catastrófico"),CONCATENATE("R",'Mapa final'!$C$60),"")</f>
        <v/>
      </c>
      <c r="AK44" s="293"/>
      <c r="AL44" s="293" t="str">
        <f>IF(AND('Mapa final'!$J$66="Muy Baja",'Mapa final'!$N$66="Catastrófico"),CONCATENATE("R",'Mapa final'!$C$66),"")</f>
        <v/>
      </c>
      <c r="AM44" s="294"/>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row>
    <row r="45" spans="1:80" ht="15" thickBot="1" x14ac:dyDescent="0.4">
      <c r="A45" s="78"/>
      <c r="B45" s="321"/>
      <c r="C45" s="321"/>
      <c r="D45" s="322"/>
      <c r="E45" s="317"/>
      <c r="F45" s="318"/>
      <c r="G45" s="318"/>
      <c r="H45" s="318"/>
      <c r="I45" s="319"/>
      <c r="J45" s="277"/>
      <c r="K45" s="278"/>
      <c r="L45" s="278"/>
      <c r="M45" s="278"/>
      <c r="N45" s="278"/>
      <c r="O45" s="279"/>
      <c r="P45" s="277"/>
      <c r="Q45" s="278"/>
      <c r="R45" s="278"/>
      <c r="S45" s="278"/>
      <c r="T45" s="278"/>
      <c r="U45" s="279"/>
      <c r="V45" s="286"/>
      <c r="W45" s="287"/>
      <c r="X45" s="287"/>
      <c r="Y45" s="287"/>
      <c r="Z45" s="287"/>
      <c r="AA45" s="288"/>
      <c r="AB45" s="304"/>
      <c r="AC45" s="305"/>
      <c r="AD45" s="305"/>
      <c r="AE45" s="305"/>
      <c r="AF45" s="305"/>
      <c r="AG45" s="306"/>
      <c r="AH45" s="295"/>
      <c r="AI45" s="296"/>
      <c r="AJ45" s="296"/>
      <c r="AK45" s="296"/>
      <c r="AL45" s="296"/>
      <c r="AM45" s="297"/>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row>
    <row r="46" spans="1:80" x14ac:dyDescent="0.35">
      <c r="A46" s="78"/>
      <c r="B46" s="78"/>
      <c r="C46" s="78"/>
      <c r="D46" s="78"/>
      <c r="E46" s="78"/>
      <c r="F46" s="78"/>
      <c r="G46" s="78"/>
      <c r="H46" s="78"/>
      <c r="I46" s="78"/>
      <c r="J46" s="311" t="s">
        <v>111</v>
      </c>
      <c r="K46" s="312"/>
      <c r="L46" s="312"/>
      <c r="M46" s="312"/>
      <c r="N46" s="312"/>
      <c r="O46" s="313"/>
      <c r="P46" s="311" t="s">
        <v>110</v>
      </c>
      <c r="Q46" s="312"/>
      <c r="R46" s="312"/>
      <c r="S46" s="312"/>
      <c r="T46" s="312"/>
      <c r="U46" s="313"/>
      <c r="V46" s="311" t="s">
        <v>109</v>
      </c>
      <c r="W46" s="312"/>
      <c r="X46" s="312"/>
      <c r="Y46" s="312"/>
      <c r="Z46" s="312"/>
      <c r="AA46" s="313"/>
      <c r="AB46" s="311" t="s">
        <v>108</v>
      </c>
      <c r="AC46" s="320"/>
      <c r="AD46" s="312"/>
      <c r="AE46" s="312"/>
      <c r="AF46" s="312"/>
      <c r="AG46" s="313"/>
      <c r="AH46" s="311" t="s">
        <v>107</v>
      </c>
      <c r="AI46" s="312"/>
      <c r="AJ46" s="312"/>
      <c r="AK46" s="312"/>
      <c r="AL46" s="312"/>
      <c r="AM46" s="313"/>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row>
    <row r="47" spans="1:80" x14ac:dyDescent="0.35">
      <c r="A47" s="78"/>
      <c r="B47" s="78"/>
      <c r="C47" s="78"/>
      <c r="D47" s="78"/>
      <c r="E47" s="78"/>
      <c r="F47" s="78"/>
      <c r="G47" s="78"/>
      <c r="H47" s="78"/>
      <c r="I47" s="78"/>
      <c r="J47" s="314"/>
      <c r="K47" s="315"/>
      <c r="L47" s="315"/>
      <c r="M47" s="315"/>
      <c r="N47" s="315"/>
      <c r="O47" s="316"/>
      <c r="P47" s="314"/>
      <c r="Q47" s="315"/>
      <c r="R47" s="315"/>
      <c r="S47" s="315"/>
      <c r="T47" s="315"/>
      <c r="U47" s="316"/>
      <c r="V47" s="314"/>
      <c r="W47" s="315"/>
      <c r="X47" s="315"/>
      <c r="Y47" s="315"/>
      <c r="Z47" s="315"/>
      <c r="AA47" s="316"/>
      <c r="AB47" s="314"/>
      <c r="AC47" s="315"/>
      <c r="AD47" s="315"/>
      <c r="AE47" s="315"/>
      <c r="AF47" s="315"/>
      <c r="AG47" s="316"/>
      <c r="AH47" s="314"/>
      <c r="AI47" s="315"/>
      <c r="AJ47" s="315"/>
      <c r="AK47" s="315"/>
      <c r="AL47" s="315"/>
      <c r="AM47" s="316"/>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row>
    <row r="48" spans="1:80" x14ac:dyDescent="0.35">
      <c r="A48" s="78"/>
      <c r="B48" s="78"/>
      <c r="C48" s="78"/>
      <c r="D48" s="78"/>
      <c r="E48" s="78"/>
      <c r="F48" s="78"/>
      <c r="G48" s="78"/>
      <c r="H48" s="78"/>
      <c r="I48" s="78"/>
      <c r="J48" s="314"/>
      <c r="K48" s="315"/>
      <c r="L48" s="315"/>
      <c r="M48" s="315"/>
      <c r="N48" s="315"/>
      <c r="O48" s="316"/>
      <c r="P48" s="314"/>
      <c r="Q48" s="315"/>
      <c r="R48" s="315"/>
      <c r="S48" s="315"/>
      <c r="T48" s="315"/>
      <c r="U48" s="316"/>
      <c r="V48" s="314"/>
      <c r="W48" s="315"/>
      <c r="X48" s="315"/>
      <c r="Y48" s="315"/>
      <c r="Z48" s="315"/>
      <c r="AA48" s="316"/>
      <c r="AB48" s="314"/>
      <c r="AC48" s="315"/>
      <c r="AD48" s="315"/>
      <c r="AE48" s="315"/>
      <c r="AF48" s="315"/>
      <c r="AG48" s="316"/>
      <c r="AH48" s="314"/>
      <c r="AI48" s="315"/>
      <c r="AJ48" s="315"/>
      <c r="AK48" s="315"/>
      <c r="AL48" s="315"/>
      <c r="AM48" s="316"/>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row>
    <row r="49" spans="1:80" x14ac:dyDescent="0.35">
      <c r="A49" s="78"/>
      <c r="B49" s="78"/>
      <c r="C49" s="78"/>
      <c r="D49" s="78"/>
      <c r="E49" s="78"/>
      <c r="F49" s="78"/>
      <c r="G49" s="78"/>
      <c r="H49" s="78"/>
      <c r="I49" s="78"/>
      <c r="J49" s="314"/>
      <c r="K49" s="315"/>
      <c r="L49" s="315"/>
      <c r="M49" s="315"/>
      <c r="N49" s="315"/>
      <c r="O49" s="316"/>
      <c r="P49" s="314"/>
      <c r="Q49" s="315"/>
      <c r="R49" s="315"/>
      <c r="S49" s="315"/>
      <c r="T49" s="315"/>
      <c r="U49" s="316"/>
      <c r="V49" s="314"/>
      <c r="W49" s="315"/>
      <c r="X49" s="315"/>
      <c r="Y49" s="315"/>
      <c r="Z49" s="315"/>
      <c r="AA49" s="316"/>
      <c r="AB49" s="314"/>
      <c r="AC49" s="315"/>
      <c r="AD49" s="315"/>
      <c r="AE49" s="315"/>
      <c r="AF49" s="315"/>
      <c r="AG49" s="316"/>
      <c r="AH49" s="314"/>
      <c r="AI49" s="315"/>
      <c r="AJ49" s="315"/>
      <c r="AK49" s="315"/>
      <c r="AL49" s="315"/>
      <c r="AM49" s="316"/>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row>
    <row r="50" spans="1:80" x14ac:dyDescent="0.35">
      <c r="A50" s="78"/>
      <c r="B50" s="78"/>
      <c r="C50" s="78"/>
      <c r="D50" s="78"/>
      <c r="E50" s="78"/>
      <c r="F50" s="78"/>
      <c r="G50" s="78"/>
      <c r="H50" s="78"/>
      <c r="I50" s="78"/>
      <c r="J50" s="314"/>
      <c r="K50" s="315"/>
      <c r="L50" s="315"/>
      <c r="M50" s="315"/>
      <c r="N50" s="315"/>
      <c r="O50" s="316"/>
      <c r="P50" s="314"/>
      <c r="Q50" s="315"/>
      <c r="R50" s="315"/>
      <c r="S50" s="315"/>
      <c r="T50" s="315"/>
      <c r="U50" s="316"/>
      <c r="V50" s="314"/>
      <c r="W50" s="315"/>
      <c r="X50" s="315"/>
      <c r="Y50" s="315"/>
      <c r="Z50" s="315"/>
      <c r="AA50" s="316"/>
      <c r="AB50" s="314"/>
      <c r="AC50" s="315"/>
      <c r="AD50" s="315"/>
      <c r="AE50" s="315"/>
      <c r="AF50" s="315"/>
      <c r="AG50" s="316"/>
      <c r="AH50" s="314"/>
      <c r="AI50" s="315"/>
      <c r="AJ50" s="315"/>
      <c r="AK50" s="315"/>
      <c r="AL50" s="315"/>
      <c r="AM50" s="316"/>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row>
    <row r="51" spans="1:80" ht="15" thickBot="1" x14ac:dyDescent="0.4">
      <c r="A51" s="78"/>
      <c r="B51" s="78"/>
      <c r="C51" s="78"/>
      <c r="D51" s="78"/>
      <c r="E51" s="78"/>
      <c r="F51" s="78"/>
      <c r="G51" s="78"/>
      <c r="H51" s="78"/>
      <c r="I51" s="78"/>
      <c r="J51" s="317"/>
      <c r="K51" s="318"/>
      <c r="L51" s="318"/>
      <c r="M51" s="318"/>
      <c r="N51" s="318"/>
      <c r="O51" s="319"/>
      <c r="P51" s="317"/>
      <c r="Q51" s="318"/>
      <c r="R51" s="318"/>
      <c r="S51" s="318"/>
      <c r="T51" s="318"/>
      <c r="U51" s="319"/>
      <c r="V51" s="317"/>
      <c r="W51" s="318"/>
      <c r="X51" s="318"/>
      <c r="Y51" s="318"/>
      <c r="Z51" s="318"/>
      <c r="AA51" s="319"/>
      <c r="AB51" s="317"/>
      <c r="AC51" s="318"/>
      <c r="AD51" s="318"/>
      <c r="AE51" s="318"/>
      <c r="AF51" s="318"/>
      <c r="AG51" s="319"/>
      <c r="AH51" s="317"/>
      <c r="AI51" s="318"/>
      <c r="AJ51" s="318"/>
      <c r="AK51" s="318"/>
      <c r="AL51" s="318"/>
      <c r="AM51" s="319"/>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row>
    <row r="52" spans="1:80" x14ac:dyDescent="0.35">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row>
    <row r="53" spans="1:80" ht="15" customHeight="1" x14ac:dyDescent="0.35">
      <c r="A53" s="78"/>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row>
    <row r="54" spans="1:80" ht="15" customHeight="1" x14ac:dyDescent="0.35">
      <c r="A54" s="78"/>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row>
    <row r="55" spans="1:80" x14ac:dyDescent="0.35">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row>
    <row r="56" spans="1:80" x14ac:dyDescent="0.35">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row>
    <row r="57" spans="1:80" x14ac:dyDescent="0.35">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row>
    <row r="58" spans="1:80" x14ac:dyDescent="0.35">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row>
    <row r="59" spans="1:80" x14ac:dyDescent="0.35">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row>
    <row r="60" spans="1:80" x14ac:dyDescent="0.35">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row>
    <row r="61" spans="1:80" x14ac:dyDescent="0.35">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row>
    <row r="62" spans="1:80" x14ac:dyDescent="0.35">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row>
    <row r="63" spans="1:80" x14ac:dyDescent="0.35">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row>
    <row r="64" spans="1:80" x14ac:dyDescent="0.35">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row>
    <row r="65" spans="1:80" x14ac:dyDescent="0.35">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row>
    <row r="66" spans="1:80" x14ac:dyDescent="0.35">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row>
    <row r="67" spans="1:80" x14ac:dyDescent="0.35">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row>
    <row r="68" spans="1:80" x14ac:dyDescent="0.35">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row>
    <row r="69" spans="1:80" x14ac:dyDescent="0.35">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row>
    <row r="70" spans="1:80" x14ac:dyDescent="0.35">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row>
    <row r="71" spans="1:80" x14ac:dyDescent="0.35">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row>
    <row r="72" spans="1:80" x14ac:dyDescent="0.35">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row>
    <row r="73" spans="1:80" x14ac:dyDescent="0.35">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row>
    <row r="74" spans="1:80" x14ac:dyDescent="0.35">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row>
    <row r="75" spans="1:80" x14ac:dyDescent="0.35">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row>
    <row r="76" spans="1:80" x14ac:dyDescent="0.35">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row>
    <row r="77" spans="1:80" x14ac:dyDescent="0.35">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row>
    <row r="78" spans="1:80" x14ac:dyDescent="0.3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row>
    <row r="79" spans="1:80" x14ac:dyDescent="0.35">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row>
    <row r="80" spans="1:80" x14ac:dyDescent="0.35">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row>
    <row r="81" spans="1:63" x14ac:dyDescent="0.35">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row>
    <row r="82" spans="1:63" x14ac:dyDescent="0.35">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row>
    <row r="83" spans="1:63" x14ac:dyDescent="0.35">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row>
    <row r="84" spans="1:63" x14ac:dyDescent="0.35">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row>
    <row r="85" spans="1:63" x14ac:dyDescent="0.35">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row>
    <row r="86" spans="1:63" x14ac:dyDescent="0.35">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row>
    <row r="87" spans="1:63" x14ac:dyDescent="0.35">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row>
    <row r="88" spans="1:63" x14ac:dyDescent="0.35">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row>
    <row r="89" spans="1:63" x14ac:dyDescent="0.35">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row>
    <row r="90" spans="1:63" x14ac:dyDescent="0.35">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row>
    <row r="91" spans="1:63" x14ac:dyDescent="0.35">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row>
    <row r="92" spans="1:63" x14ac:dyDescent="0.35">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row>
    <row r="93" spans="1:63" x14ac:dyDescent="0.35">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row>
    <row r="94" spans="1:63" x14ac:dyDescent="0.35">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row>
    <row r="95" spans="1:63" x14ac:dyDescent="0.35">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row>
    <row r="96" spans="1:63" x14ac:dyDescent="0.35">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row>
    <row r="97" spans="1:63" x14ac:dyDescent="0.35">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row>
    <row r="98" spans="1:63" x14ac:dyDescent="0.35">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row>
    <row r="99" spans="1:63" x14ac:dyDescent="0.35">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row>
    <row r="100" spans="1:63" x14ac:dyDescent="0.35">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row>
    <row r="101" spans="1:63" x14ac:dyDescent="0.35">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row>
    <row r="102" spans="1:63" x14ac:dyDescent="0.3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row>
    <row r="103" spans="1:63" x14ac:dyDescent="0.35">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row>
    <row r="104" spans="1:63" x14ac:dyDescent="0.35">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row>
    <row r="105" spans="1:63" x14ac:dyDescent="0.35">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row>
    <row r="106" spans="1:63" x14ac:dyDescent="0.35">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row>
    <row r="107" spans="1:63" x14ac:dyDescent="0.35">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row>
    <row r="108" spans="1:63" x14ac:dyDescent="0.35">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row>
    <row r="109" spans="1:63" x14ac:dyDescent="0.35">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row>
    <row r="110" spans="1:63" x14ac:dyDescent="0.35">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row>
    <row r="111" spans="1:63" x14ac:dyDescent="0.35">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row>
    <row r="112" spans="1:63" x14ac:dyDescent="0.35">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row>
    <row r="113" spans="1:63" x14ac:dyDescent="0.35">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row>
    <row r="114" spans="1:63" x14ac:dyDescent="0.35">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row>
    <row r="115" spans="1:63" x14ac:dyDescent="0.35">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row>
    <row r="116" spans="1:63" x14ac:dyDescent="0.35">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row>
    <row r="117" spans="1:63" x14ac:dyDescent="0.3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row>
    <row r="118" spans="1:63" x14ac:dyDescent="0.35">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row>
    <row r="119" spans="1:63" x14ac:dyDescent="0.35">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row>
    <row r="120" spans="1:63" x14ac:dyDescent="0.35">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row>
    <row r="121" spans="1:63" x14ac:dyDescent="0.35">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row>
    <row r="122" spans="1:63" x14ac:dyDescent="0.35">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row>
    <row r="123" spans="1:63" x14ac:dyDescent="0.35">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row>
    <row r="124" spans="1:63" x14ac:dyDescent="0.35">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row>
    <row r="125" spans="1:63" x14ac:dyDescent="0.35">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row>
    <row r="126" spans="1:63" x14ac:dyDescent="0.35">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row>
    <row r="127" spans="1:63" x14ac:dyDescent="0.35">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row>
    <row r="128" spans="1:63" x14ac:dyDescent="0.35">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row>
    <row r="129" spans="2:63" x14ac:dyDescent="0.35">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row>
    <row r="130" spans="2:63" x14ac:dyDescent="0.3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row>
    <row r="131" spans="2:63" x14ac:dyDescent="0.35">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row>
    <row r="132" spans="2:63" x14ac:dyDescent="0.35">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row>
    <row r="133" spans="2:63" x14ac:dyDescent="0.35">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row>
    <row r="134" spans="2:63" x14ac:dyDescent="0.35">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row>
    <row r="135" spans="2:63" x14ac:dyDescent="0.35">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row>
    <row r="136" spans="2:63" x14ac:dyDescent="0.3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row>
    <row r="137" spans="2:63" x14ac:dyDescent="0.35">
      <c r="B137" s="78"/>
      <c r="C137" s="78"/>
      <c r="D137" s="78"/>
      <c r="E137" s="78"/>
      <c r="F137" s="78"/>
      <c r="G137" s="78"/>
      <c r="H137" s="78"/>
      <c r="I137" s="78"/>
    </row>
    <row r="138" spans="2:63" x14ac:dyDescent="0.35">
      <c r="B138" s="78"/>
      <c r="C138" s="78"/>
      <c r="D138" s="78"/>
      <c r="E138" s="78"/>
      <c r="F138" s="78"/>
      <c r="G138" s="78"/>
      <c r="H138" s="78"/>
      <c r="I138" s="78"/>
    </row>
    <row r="139" spans="2:63" x14ac:dyDescent="0.35">
      <c r="B139" s="78"/>
      <c r="C139" s="78"/>
      <c r="D139" s="78"/>
      <c r="E139" s="78"/>
      <c r="F139" s="78"/>
      <c r="G139" s="78"/>
      <c r="H139" s="78"/>
      <c r="I139" s="78"/>
    </row>
    <row r="140" spans="2:63" x14ac:dyDescent="0.35">
      <c r="B140" s="78"/>
      <c r="C140" s="78"/>
      <c r="D140" s="78"/>
      <c r="E140" s="78"/>
      <c r="F140" s="78"/>
      <c r="G140" s="78"/>
      <c r="H140" s="78"/>
      <c r="I140" s="78"/>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5" zoomScale="50" zoomScaleNormal="50" workbookViewId="0">
      <selection activeCell="AO16" sqref="AO16:AT25"/>
    </sheetView>
  </sheetViews>
  <sheetFormatPr baseColWidth="10" defaultRowHeight="14.5" x14ac:dyDescent="0.35"/>
  <cols>
    <col min="2" max="18" width="5.7265625" customWidth="1"/>
    <col min="19" max="19" width="8.453125" customWidth="1"/>
    <col min="20" max="23" width="5.7265625" customWidth="1"/>
    <col min="24" max="24" width="8.54296875" customWidth="1"/>
    <col min="25" max="26" width="5.7265625" customWidth="1"/>
    <col min="27" max="27" width="10.7265625" customWidth="1"/>
    <col min="28" max="28" width="5.7265625" customWidth="1"/>
    <col min="29" max="29" width="7.453125" customWidth="1"/>
    <col min="30" max="33" width="5.7265625" customWidth="1"/>
    <col min="34" max="34" width="8.54296875" customWidth="1"/>
    <col min="35" max="39" width="5.7265625" customWidth="1"/>
    <col min="41" max="46" width="5.7265625" customWidth="1"/>
  </cols>
  <sheetData>
    <row r="1" spans="1:91" x14ac:dyDescent="0.3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row>
    <row r="2" spans="1:91" ht="18" customHeight="1" x14ac:dyDescent="0.35">
      <c r="A2" s="78"/>
      <c r="B2" s="388" t="s">
        <v>158</v>
      </c>
      <c r="C2" s="389"/>
      <c r="D2" s="389"/>
      <c r="E2" s="389"/>
      <c r="F2" s="389"/>
      <c r="G2" s="389"/>
      <c r="H2" s="389"/>
      <c r="I2" s="389"/>
      <c r="J2" s="310" t="s">
        <v>2</v>
      </c>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row>
    <row r="3" spans="1:91" ht="18.75" customHeight="1" x14ac:dyDescent="0.35">
      <c r="A3" s="78"/>
      <c r="B3" s="389"/>
      <c r="C3" s="389"/>
      <c r="D3" s="389"/>
      <c r="E3" s="389"/>
      <c r="F3" s="389"/>
      <c r="G3" s="389"/>
      <c r="H3" s="389"/>
      <c r="I3" s="389"/>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row>
    <row r="4" spans="1:91" ht="15" customHeight="1" x14ac:dyDescent="0.35">
      <c r="A4" s="78"/>
      <c r="B4" s="389"/>
      <c r="C4" s="389"/>
      <c r="D4" s="389"/>
      <c r="E4" s="389"/>
      <c r="F4" s="389"/>
      <c r="G4" s="389"/>
      <c r="H4" s="389"/>
      <c r="I4" s="389"/>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row>
    <row r="5" spans="1:91" ht="15" thickBot="1" x14ac:dyDescent="0.4">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row>
    <row r="6" spans="1:91" ht="15" customHeight="1" x14ac:dyDescent="0.35">
      <c r="A6" s="78"/>
      <c r="B6" s="321" t="s">
        <v>4</v>
      </c>
      <c r="C6" s="321"/>
      <c r="D6" s="322"/>
      <c r="E6" s="359" t="s">
        <v>115</v>
      </c>
      <c r="F6" s="360"/>
      <c r="G6" s="360"/>
      <c r="H6" s="360"/>
      <c r="I6" s="361"/>
      <c r="J6" s="41" t="str">
        <f>IF(AND('Mapa final'!$AA$6="Muy Alta",'Mapa final'!$AC$6="Leve"),CONCATENATE("R1C",'Mapa final'!$Q$6),"")</f>
        <v/>
      </c>
      <c r="K6" s="42" t="str">
        <f ca="1">IF(AND('Mapa final'!$AA$7="Muy Alta",'Mapa final'!$AC$7="Leve"),CONCATENATE("R1C",'Mapa final'!$Q$7),"")</f>
        <v/>
      </c>
      <c r="L6" s="42" t="str">
        <f ca="1">IF(AND('Mapa final'!$AA$8="Muy Alta",'Mapa final'!$AC$8="Leve"),CONCATENATE("R1C",'Mapa final'!$Q$8),"")</f>
        <v/>
      </c>
      <c r="M6" s="42" t="str">
        <f ca="1">IF(AND('Mapa final'!$AA$9="Muy Alta",'Mapa final'!$AC$9="Leve"),CONCATENATE("R1C",'Mapa final'!$Q$9),"")</f>
        <v/>
      </c>
      <c r="N6" s="42" t="str">
        <f ca="1">IF(AND('Mapa final'!$AA$10="Muy Alta",'Mapa final'!$AC$10="Leve"),CONCATENATE("R1C",'Mapa final'!$Q$10),"")</f>
        <v/>
      </c>
      <c r="O6" s="43" t="str">
        <f ca="1">IF(AND('Mapa final'!$AA$11="Muy Alta",'Mapa final'!$AC$11="Leve"),CONCATENATE("R1C",'Mapa final'!$Q$11),"")</f>
        <v/>
      </c>
      <c r="P6" s="41" t="str">
        <f>IF(AND('Mapa final'!$AA$6="Muy Alta",'Mapa final'!$AC$6="Menor"),CONCATENATE("R1C",'Mapa final'!$Q$6),"")</f>
        <v/>
      </c>
      <c r="Q6" s="42" t="str">
        <f ca="1">IF(AND('Mapa final'!$AA$7="Muy Alta",'Mapa final'!$AC$7="Menor"),CONCATENATE("R1C",'Mapa final'!$Q$7),"")</f>
        <v/>
      </c>
      <c r="R6" s="42" t="str">
        <f ca="1">IF(AND('Mapa final'!$AA$8="Muy Alta",'Mapa final'!$AC$8="Menor"),CONCATENATE("R1C",'Mapa final'!$Q$8),"")</f>
        <v/>
      </c>
      <c r="S6" s="42" t="str">
        <f ca="1">IF(AND('Mapa final'!$AA$9="Muy Alta",'Mapa final'!$AC$9="Menor"),CONCATENATE("R1C",'Mapa final'!$Q$9),"")</f>
        <v/>
      </c>
      <c r="T6" s="42" t="str">
        <f ca="1">IF(AND('Mapa final'!$AA$10="Muy Alta",'Mapa final'!$AC$10="Menor"),CONCATENATE("R1C",'Mapa final'!$Q$10),"")</f>
        <v/>
      </c>
      <c r="U6" s="43" t="str">
        <f ca="1">IF(AND('Mapa final'!$AA$11="Muy Alta",'Mapa final'!$AC$11="Menor"),CONCATENATE("R1C",'Mapa final'!$Q$11),"")</f>
        <v/>
      </c>
      <c r="V6" s="41" t="str">
        <f>IF(AND('Mapa final'!$AA$6="Muy Alta",'Mapa final'!$AC$6="Moderado"),CONCATENATE("R1C",'Mapa final'!$Q$6),"")</f>
        <v/>
      </c>
      <c r="W6" s="42" t="str">
        <f ca="1">IF(AND('Mapa final'!$AA$7="Muy Alta",'Mapa final'!$AC$7="Moderado"),CONCATENATE("R1C",'Mapa final'!$Q$7),"")</f>
        <v/>
      </c>
      <c r="X6" s="42" t="str">
        <f ca="1">IF(AND('Mapa final'!$AA$8="Muy Alta",'Mapa final'!$AC$8="Moderado"),CONCATENATE("R1C",'Mapa final'!$Q$8),"")</f>
        <v/>
      </c>
      <c r="Y6" s="42" t="str">
        <f ca="1">IF(AND('Mapa final'!$AA$9="Muy Alta",'Mapa final'!$AC$9="Moderado"),CONCATENATE("R1C",'Mapa final'!$Q$9),"")</f>
        <v/>
      </c>
      <c r="Z6" s="42" t="str">
        <f ca="1">IF(AND('Mapa final'!$AA$10="Muy Alta",'Mapa final'!$AC$10="Moderado"),CONCATENATE("R1C",'Mapa final'!$Q$10),"")</f>
        <v/>
      </c>
      <c r="AA6" s="43" t="str">
        <f ca="1">IF(AND('Mapa final'!$AA$11="Muy Alta",'Mapa final'!$AC$11="Moderado"),CONCATENATE("R1C",'Mapa final'!$Q$11),"")</f>
        <v/>
      </c>
      <c r="AB6" s="41" t="str">
        <f>IF(AND('Mapa final'!$AA$6="Muy Alta",'Mapa final'!$AC$6="Mayor"),CONCATENATE("R1C",'Mapa final'!$Q$6),"")</f>
        <v/>
      </c>
      <c r="AC6" s="42" t="str">
        <f ca="1">IF(AND('Mapa final'!$AA$7="Muy Alta",'Mapa final'!$AC$7="Mayor"),CONCATENATE("R1C",'Mapa final'!$Q$7),"")</f>
        <v/>
      </c>
      <c r="AD6" s="42" t="str">
        <f ca="1">IF(AND('Mapa final'!$AA$8="Muy Alta",'Mapa final'!$AC$8="Mayor"),CONCATENATE("R1C",'Mapa final'!$Q$8),"")</f>
        <v/>
      </c>
      <c r="AE6" s="42" t="str">
        <f ca="1">IF(AND('Mapa final'!$AA$9="Muy Alta",'Mapa final'!$AC$9="Mayor"),CONCATENATE("R1C",'Mapa final'!$Q$9),"")</f>
        <v/>
      </c>
      <c r="AF6" s="42" t="str">
        <f ca="1">IF(AND('Mapa final'!$AA$10="Muy Alta",'Mapa final'!$AC$10="Mayor"),CONCATENATE("R1C",'Mapa final'!$Q$10),"")</f>
        <v/>
      </c>
      <c r="AG6" s="43" t="str">
        <f ca="1">IF(AND('Mapa final'!$AA$11="Muy Alta",'Mapa final'!$AC$11="Mayor"),CONCATENATE("R1C",'Mapa final'!$Q$11),"")</f>
        <v/>
      </c>
      <c r="AH6" s="44" t="str">
        <f>IF(AND('Mapa final'!$AA$6="Muy Alta",'Mapa final'!$AC$6="Catastrófico"),CONCATENATE("R1C",'Mapa final'!$Q$6),"")</f>
        <v/>
      </c>
      <c r="AI6" s="45" t="str">
        <f ca="1">IF(AND('Mapa final'!$AA$7="Muy Alta",'Mapa final'!$AC$7="Catastrófico"),CONCATENATE("R1C",'Mapa final'!$Q$7),"")</f>
        <v/>
      </c>
      <c r="AJ6" s="45" t="str">
        <f ca="1">IF(AND('Mapa final'!$AA$8="Muy Alta",'Mapa final'!$AC$8="Catastrófico"),CONCATENATE("R1C",'Mapa final'!$Q$8),"")</f>
        <v/>
      </c>
      <c r="AK6" s="45" t="str">
        <f ca="1">IF(AND('Mapa final'!$AA$9="Muy Alta",'Mapa final'!$AC$9="Catastrófico"),CONCATENATE("R1C",'Mapa final'!$Q$9),"")</f>
        <v/>
      </c>
      <c r="AL6" s="45" t="str">
        <f ca="1">IF(AND('Mapa final'!$AA$10="Muy Alta",'Mapa final'!$AC$10="Catastrófico"),CONCATENATE("R1C",'Mapa final'!$Q$10),"")</f>
        <v/>
      </c>
      <c r="AM6" s="46" t="str">
        <f ca="1">IF(AND('Mapa final'!$AA$11="Muy Alta",'Mapa final'!$AC$11="Catastrófico"),CONCATENATE("R1C",'Mapa final'!$Q$11),"")</f>
        <v/>
      </c>
      <c r="AN6" s="78"/>
      <c r="AO6" s="379" t="s">
        <v>78</v>
      </c>
      <c r="AP6" s="380"/>
      <c r="AQ6" s="380"/>
      <c r="AR6" s="380"/>
      <c r="AS6" s="380"/>
      <c r="AT6" s="381"/>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row>
    <row r="7" spans="1:91" ht="15" customHeight="1" x14ac:dyDescent="0.35">
      <c r="A7" s="78"/>
      <c r="B7" s="321"/>
      <c r="C7" s="321"/>
      <c r="D7" s="322"/>
      <c r="E7" s="362"/>
      <c r="F7" s="363"/>
      <c r="G7" s="363"/>
      <c r="H7" s="363"/>
      <c r="I7" s="364"/>
      <c r="J7" s="47" t="str">
        <f>IF(AND('Mapa final'!$AA$12="Muy Alta",'Mapa final'!$AC$12="Leve"),CONCATENATE("R2C",'Mapa final'!$Q$12),"")</f>
        <v/>
      </c>
      <c r="K7" s="48" t="str">
        <f ca="1">IF(AND('Mapa final'!$AA$13="Muy Alta",'Mapa final'!$AC$13="Leve"),CONCATENATE("R2C",'Mapa final'!$Q$13),"")</f>
        <v/>
      </c>
      <c r="L7" s="48" t="str">
        <f ca="1">IF(AND('Mapa final'!$AA$14="Muy Alta",'Mapa final'!$AC$14="Leve"),CONCATENATE("R2C",'Mapa final'!$Q$14),"")</f>
        <v/>
      </c>
      <c r="M7" s="48" t="str">
        <f ca="1">IF(AND('Mapa final'!$AA$15="Muy Alta",'Mapa final'!$AC$15="Leve"),CONCATENATE("R2C",'Mapa final'!$Q$15),"")</f>
        <v/>
      </c>
      <c r="N7" s="48" t="str">
        <f ca="1">IF(AND('Mapa final'!$AA$16="Muy Alta",'Mapa final'!$AC$16="Leve"),CONCATENATE("R2C",'Mapa final'!$Q$16),"")</f>
        <v/>
      </c>
      <c r="O7" s="49" t="e">
        <f>IF(AND('Mapa final'!#REF!="Muy Alta",'Mapa final'!#REF!="Leve"),CONCATENATE("R2C",'Mapa final'!#REF!),"")</f>
        <v>#REF!</v>
      </c>
      <c r="P7" s="47" t="str">
        <f>IF(AND('Mapa final'!$AA$12="Muy Alta",'Mapa final'!$AC$12="Menor"),CONCATENATE("R2C",'Mapa final'!$Q$12),"")</f>
        <v/>
      </c>
      <c r="Q7" s="48" t="str">
        <f ca="1">IF(AND('Mapa final'!$AA$13="Muy Alta",'Mapa final'!$AC$13="Menor"),CONCATENATE("R2C",'Mapa final'!$Q$13),"")</f>
        <v/>
      </c>
      <c r="R7" s="48" t="str">
        <f ca="1">IF(AND('Mapa final'!$AA$14="Muy Alta",'Mapa final'!$AC$14="Menor"),CONCATENATE("R2C",'Mapa final'!$Q$14),"")</f>
        <v/>
      </c>
      <c r="S7" s="48" t="str">
        <f ca="1">IF(AND('Mapa final'!$AA$15="Muy Alta",'Mapa final'!$AC$15="Menor"),CONCATENATE("R2C",'Mapa final'!$Q$15),"")</f>
        <v/>
      </c>
      <c r="T7" s="48" t="str">
        <f ca="1">IF(AND('Mapa final'!$AA$16="Muy Alta",'Mapa final'!$AC$16="Menor"),CONCATENATE("R2C",'Mapa final'!$Q$16),"")</f>
        <v/>
      </c>
      <c r="U7" s="49" t="e">
        <f>IF(AND('Mapa final'!#REF!="Muy Alta",'Mapa final'!#REF!="Menor"),CONCATENATE("R2C",'Mapa final'!#REF!),"")</f>
        <v>#REF!</v>
      </c>
      <c r="V7" s="47" t="str">
        <f>IF(AND('Mapa final'!$AA$12="Muy Alta",'Mapa final'!$AC$12="Moderado"),CONCATENATE("R2C",'Mapa final'!$Q$12),"")</f>
        <v/>
      </c>
      <c r="W7" s="48" t="str">
        <f ca="1">IF(AND('Mapa final'!$AA$13="Muy Alta",'Mapa final'!$AC$13="Moderado"),CONCATENATE("R2C",'Mapa final'!$Q$13),"")</f>
        <v/>
      </c>
      <c r="X7" s="48" t="str">
        <f ca="1">IF(AND('Mapa final'!$AA$14="Muy Alta",'Mapa final'!$AC$14="Moderado"),CONCATENATE("R2C",'Mapa final'!$Q$14),"")</f>
        <v/>
      </c>
      <c r="Y7" s="48" t="str">
        <f ca="1">IF(AND('Mapa final'!$AA$15="Muy Alta",'Mapa final'!$AC$15="Moderado"),CONCATENATE("R2C",'Mapa final'!$Q$15),"")</f>
        <v/>
      </c>
      <c r="Z7" s="48" t="str">
        <f ca="1">IF(AND('Mapa final'!$AA$16="Muy Alta",'Mapa final'!$AC$16="Moderado"),CONCATENATE("R2C",'Mapa final'!$Q$16),"")</f>
        <v/>
      </c>
      <c r="AA7" s="49" t="e">
        <f>IF(AND('Mapa final'!#REF!="Muy Alta",'Mapa final'!#REF!="Moderado"),CONCATENATE("R2C",'Mapa final'!#REF!),"")</f>
        <v>#REF!</v>
      </c>
      <c r="AB7" s="47" t="str">
        <f>IF(AND('Mapa final'!$AA$12="Muy Alta",'Mapa final'!$AC$12="Mayor"),CONCATENATE("R2C",'Mapa final'!$Q$12),"")</f>
        <v/>
      </c>
      <c r="AC7" s="48" t="str">
        <f ca="1">IF(AND('Mapa final'!$AA$13="Muy Alta",'Mapa final'!$AC$13="Mayor"),CONCATENATE("R2C",'Mapa final'!$Q$13),"")</f>
        <v/>
      </c>
      <c r="AD7" s="48" t="str">
        <f ca="1">IF(AND('Mapa final'!$AA$14="Muy Alta",'Mapa final'!$AC$14="Mayor"),CONCATENATE("R2C",'Mapa final'!$Q$14),"")</f>
        <v/>
      </c>
      <c r="AE7" s="48" t="str">
        <f ca="1">IF(AND('Mapa final'!$AA$15="Muy Alta",'Mapa final'!$AC$15="Mayor"),CONCATENATE("R2C",'Mapa final'!$Q$15),"")</f>
        <v/>
      </c>
      <c r="AF7" s="48" t="str">
        <f ca="1">IF(AND('Mapa final'!$AA$16="Muy Alta",'Mapa final'!$AC$16="Mayor"),CONCATENATE("R2C",'Mapa final'!$Q$16),"")</f>
        <v/>
      </c>
      <c r="AG7" s="49" t="e">
        <f>IF(AND('Mapa final'!#REF!="Muy Alta",'Mapa final'!#REF!="Mayor"),CONCATENATE("R2C",'Mapa final'!#REF!),"")</f>
        <v>#REF!</v>
      </c>
      <c r="AH7" s="50" t="str">
        <f>IF(AND('Mapa final'!$AA$12="Muy Alta",'Mapa final'!$AC$12="Catastrófico"),CONCATENATE("R2C",'Mapa final'!$Q$12),"")</f>
        <v/>
      </c>
      <c r="AI7" s="51" t="str">
        <f ca="1">IF(AND('Mapa final'!$AA$13="Muy Alta",'Mapa final'!$AC$13="Catastrófico"),CONCATENATE("R2C",'Mapa final'!$Q$13),"")</f>
        <v/>
      </c>
      <c r="AJ7" s="51" t="str">
        <f ca="1">IF(AND('Mapa final'!$AA$14="Muy Alta",'Mapa final'!$AC$14="Catastrófico"),CONCATENATE("R2C",'Mapa final'!$Q$14),"")</f>
        <v/>
      </c>
      <c r="AK7" s="51" t="str">
        <f ca="1">IF(AND('Mapa final'!$AA$15="Muy Alta",'Mapa final'!$AC$15="Catastrófico"),CONCATENATE("R2C",'Mapa final'!$Q$15),"")</f>
        <v/>
      </c>
      <c r="AL7" s="51" t="str">
        <f ca="1">IF(AND('Mapa final'!$AA$16="Muy Alta",'Mapa final'!$AC$16="Catastrófico"),CONCATENATE("R2C",'Mapa final'!$Q$16),"")</f>
        <v/>
      </c>
      <c r="AM7" s="52" t="e">
        <f>IF(AND('Mapa final'!#REF!="Muy Alta",'Mapa final'!#REF!="Catastrófico"),CONCATENATE("R2C",'Mapa final'!#REF!),"")</f>
        <v>#REF!</v>
      </c>
      <c r="AN7" s="78"/>
      <c r="AO7" s="382"/>
      <c r="AP7" s="383"/>
      <c r="AQ7" s="383"/>
      <c r="AR7" s="383"/>
      <c r="AS7" s="383"/>
      <c r="AT7" s="384"/>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row>
    <row r="8" spans="1:91" ht="15" customHeight="1" x14ac:dyDescent="0.35">
      <c r="A8" s="78"/>
      <c r="B8" s="321"/>
      <c r="C8" s="321"/>
      <c r="D8" s="322"/>
      <c r="E8" s="362"/>
      <c r="F8" s="363"/>
      <c r="G8" s="363"/>
      <c r="H8" s="363"/>
      <c r="I8" s="364"/>
      <c r="J8" s="47" t="e">
        <f>IF(AND('Mapa final'!#REF!="Muy Alta",'Mapa final'!#REF!="Leve"),CONCATENATE("R3C",'Mapa final'!#REF!),"")</f>
        <v>#REF!</v>
      </c>
      <c r="K8" s="48" t="e">
        <f>IF(AND('Mapa final'!#REF!="Muy Alta",'Mapa final'!#REF!="Leve"),CONCATENATE("R3C",'Mapa final'!#REF!),"")</f>
        <v>#REF!</v>
      </c>
      <c r="L8" s="48" t="e">
        <f>IF(AND('Mapa final'!#REF!="Muy Alta",'Mapa final'!#REF!="Leve"),CONCATENATE("R3C",'Mapa final'!#REF!),"")</f>
        <v>#REF!</v>
      </c>
      <c r="M8" s="48" t="e">
        <f>IF(AND('Mapa final'!#REF!="Muy Alta",'Mapa final'!#REF!="Leve"),CONCATENATE("R3C",'Mapa final'!#REF!),"")</f>
        <v>#REF!</v>
      </c>
      <c r="N8" s="48" t="str">
        <f ca="1">IF(AND('Mapa final'!$AA$17="Muy Alta",'Mapa final'!$AC$17="Leve"),CONCATENATE("R3C",'Mapa final'!$Q$17),"")</f>
        <v/>
      </c>
      <c r="O8" s="49" t="str">
        <f ca="1">IF(AND('Mapa final'!$AA$18="Muy Alta",'Mapa final'!$AC$18="Leve"),CONCATENATE("R3C",'Mapa final'!$Q$18),"")</f>
        <v/>
      </c>
      <c r="P8" s="47" t="e">
        <f>IF(AND('Mapa final'!#REF!="Muy Alta",'Mapa final'!#REF!="Menor"),CONCATENATE("R3C",'Mapa final'!#REF!),"")</f>
        <v>#REF!</v>
      </c>
      <c r="Q8" s="48" t="e">
        <f>IF(AND('Mapa final'!#REF!="Muy Alta",'Mapa final'!#REF!="Menor"),CONCATENATE("R3C",'Mapa final'!#REF!),"")</f>
        <v>#REF!</v>
      </c>
      <c r="R8" s="48" t="e">
        <f>IF(AND('Mapa final'!#REF!="Muy Alta",'Mapa final'!#REF!="Menor"),CONCATENATE("R3C",'Mapa final'!#REF!),"")</f>
        <v>#REF!</v>
      </c>
      <c r="S8" s="48" t="e">
        <f>IF(AND('Mapa final'!#REF!="Muy Alta",'Mapa final'!#REF!="Menor"),CONCATENATE("R3C",'Mapa final'!#REF!),"")</f>
        <v>#REF!</v>
      </c>
      <c r="T8" s="48" t="str">
        <f ca="1">IF(AND('Mapa final'!$AA$17="Muy Alta",'Mapa final'!$AC$17="Menor"),CONCATENATE("R3C",'Mapa final'!$Q$17),"")</f>
        <v/>
      </c>
      <c r="U8" s="49" t="str">
        <f ca="1">IF(AND('Mapa final'!$AA$18="Muy Alta",'Mapa final'!$AC$18="Menor"),CONCATENATE("R3C",'Mapa final'!$Q$18),"")</f>
        <v/>
      </c>
      <c r="V8" s="47" t="e">
        <f>IF(AND('Mapa final'!#REF!="Muy Alta",'Mapa final'!#REF!="Moderado"),CONCATENATE("R3C",'Mapa final'!#REF!),"")</f>
        <v>#REF!</v>
      </c>
      <c r="W8" s="48" t="e">
        <f>IF(AND('Mapa final'!#REF!="Muy Alta",'Mapa final'!#REF!="Moderado"),CONCATENATE("R3C",'Mapa final'!#REF!),"")</f>
        <v>#REF!</v>
      </c>
      <c r="X8" s="48" t="e">
        <f>IF(AND('Mapa final'!#REF!="Muy Alta",'Mapa final'!#REF!="Moderado"),CONCATENATE("R3C",'Mapa final'!#REF!),"")</f>
        <v>#REF!</v>
      </c>
      <c r="Y8" s="48" t="e">
        <f>IF(AND('Mapa final'!#REF!="Muy Alta",'Mapa final'!#REF!="Moderado"),CONCATENATE("R3C",'Mapa final'!#REF!),"")</f>
        <v>#REF!</v>
      </c>
      <c r="Z8" s="48" t="str">
        <f ca="1">IF(AND('Mapa final'!$AA$17="Muy Alta",'Mapa final'!$AC$17="Moderado"),CONCATENATE("R3C",'Mapa final'!$Q$17),"")</f>
        <v/>
      </c>
      <c r="AA8" s="49" t="str">
        <f ca="1">IF(AND('Mapa final'!$AA$18="Muy Alta",'Mapa final'!$AC$18="Moderado"),CONCATENATE("R3C",'Mapa final'!$Q$18),"")</f>
        <v/>
      </c>
      <c r="AB8" s="47" t="e">
        <f>IF(AND('Mapa final'!#REF!="Muy Alta",'Mapa final'!#REF!="Mayor"),CONCATENATE("R3C",'Mapa final'!#REF!),"")</f>
        <v>#REF!</v>
      </c>
      <c r="AC8" s="48" t="e">
        <f>IF(AND('Mapa final'!#REF!="Muy Alta",'Mapa final'!#REF!="Mayor"),CONCATENATE("R3C",'Mapa final'!#REF!),"")</f>
        <v>#REF!</v>
      </c>
      <c r="AD8" s="48" t="e">
        <f>IF(AND('Mapa final'!#REF!="Muy Alta",'Mapa final'!#REF!="Mayor"),CONCATENATE("R3C",'Mapa final'!#REF!),"")</f>
        <v>#REF!</v>
      </c>
      <c r="AE8" s="48" t="e">
        <f>IF(AND('Mapa final'!#REF!="Muy Alta",'Mapa final'!#REF!="Mayor"),CONCATENATE("R3C",'Mapa final'!#REF!),"")</f>
        <v>#REF!</v>
      </c>
      <c r="AF8" s="48" t="str">
        <f ca="1">IF(AND('Mapa final'!$AA$17="Muy Alta",'Mapa final'!$AC$17="Mayor"),CONCATENATE("R3C",'Mapa final'!$Q$17),"")</f>
        <v/>
      </c>
      <c r="AG8" s="49" t="str">
        <f ca="1">IF(AND('Mapa final'!$AA$18="Muy Alta",'Mapa final'!$AC$18="Mayor"),CONCATENATE("R3C",'Mapa final'!$Q$18),"")</f>
        <v/>
      </c>
      <c r="AH8" s="50" t="e">
        <f>IF(AND('Mapa final'!#REF!="Muy Alta",'Mapa final'!#REF!="Catastrófico"),CONCATENATE("R3C",'Mapa final'!#REF!),"")</f>
        <v>#REF!</v>
      </c>
      <c r="AI8" s="51" t="e">
        <f>IF(AND('Mapa final'!#REF!="Muy Alta",'Mapa final'!#REF!="Catastrófico"),CONCATENATE("R3C",'Mapa final'!#REF!),"")</f>
        <v>#REF!</v>
      </c>
      <c r="AJ8" s="51" t="e">
        <f>IF(AND('Mapa final'!#REF!="Muy Alta",'Mapa final'!#REF!="Catastrófico"),CONCATENATE("R3C",'Mapa final'!#REF!),"")</f>
        <v>#REF!</v>
      </c>
      <c r="AK8" s="51" t="e">
        <f>IF(AND('Mapa final'!#REF!="Muy Alta",'Mapa final'!#REF!="Catastrófico"),CONCATENATE("R3C",'Mapa final'!#REF!),"")</f>
        <v>#REF!</v>
      </c>
      <c r="AL8" s="51" t="str">
        <f ca="1">IF(AND('Mapa final'!$AA$17="Muy Alta",'Mapa final'!$AC$17="Catastrófico"),CONCATENATE("R3C",'Mapa final'!$Q$17),"")</f>
        <v/>
      </c>
      <c r="AM8" s="52" t="str">
        <f ca="1">IF(AND('Mapa final'!$AA$18="Muy Alta",'Mapa final'!$AC$18="Catastrófico"),CONCATENATE("R3C",'Mapa final'!$Q$18),"")</f>
        <v/>
      </c>
      <c r="AN8" s="78"/>
      <c r="AO8" s="382"/>
      <c r="AP8" s="383"/>
      <c r="AQ8" s="383"/>
      <c r="AR8" s="383"/>
      <c r="AS8" s="383"/>
      <c r="AT8" s="384"/>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row>
    <row r="9" spans="1:91" ht="15" customHeight="1" x14ac:dyDescent="0.35">
      <c r="A9" s="78"/>
      <c r="B9" s="321"/>
      <c r="C9" s="321"/>
      <c r="D9" s="322"/>
      <c r="E9" s="362"/>
      <c r="F9" s="363"/>
      <c r="G9" s="363"/>
      <c r="H9" s="363"/>
      <c r="I9" s="364"/>
      <c r="J9" s="47" t="str">
        <f>IF(AND('Mapa final'!$AA$19="Muy Alta",'Mapa final'!$AC$19="Leve"),CONCATENATE("R4C",'Mapa final'!$Q$19),"")</f>
        <v/>
      </c>
      <c r="K9" s="48" t="e">
        <f>IF(AND('Mapa final'!#REF!="Muy Alta",'Mapa final'!#REF!="Leve"),CONCATENATE("R4C",'Mapa final'!#REF!),"")</f>
        <v>#REF!</v>
      </c>
      <c r="L9" s="48" t="str">
        <f ca="1">IF(AND('Mapa final'!$AA$21="Muy Alta",'Mapa final'!$AC$21="Leve"),CONCATENATE("R4C",'Mapa final'!$Q$21),"")</f>
        <v/>
      </c>
      <c r="M9" s="48" t="str">
        <f ca="1">IF(AND('Mapa final'!$AA$22="Muy Alta",'Mapa final'!$AC$22="Leve"),CONCATENATE("R4C",'Mapa final'!$Q$22),"")</f>
        <v/>
      </c>
      <c r="N9" s="48" t="e">
        <f>IF(AND('Mapa final'!#REF!="Muy Alta",'Mapa final'!#REF!="Leve"),CONCATENATE("R4C",'Mapa final'!#REF!),"")</f>
        <v>#REF!</v>
      </c>
      <c r="O9" s="49" t="str">
        <f ca="1">IF(AND('Mapa final'!$AA$23="Muy Alta",'Mapa final'!$AC$23="Leve"),CONCATENATE("R4C",'Mapa final'!$Q$23),"")</f>
        <v/>
      </c>
      <c r="P9" s="47" t="str">
        <f>IF(AND('Mapa final'!$AA$19="Muy Alta",'Mapa final'!$AC$19="Menor"),CONCATENATE("R4C",'Mapa final'!$Q$19),"")</f>
        <v/>
      </c>
      <c r="Q9" s="48" t="e">
        <f>IF(AND('Mapa final'!#REF!="Muy Alta",'Mapa final'!#REF!="Menor"),CONCATENATE("R4C",'Mapa final'!#REF!),"")</f>
        <v>#REF!</v>
      </c>
      <c r="R9" s="48" t="str">
        <f ca="1">IF(AND('Mapa final'!$AA$21="Muy Alta",'Mapa final'!$AC$21="Menor"),CONCATENATE("R4C",'Mapa final'!$Q$21),"")</f>
        <v/>
      </c>
      <c r="S9" s="48" t="str">
        <f ca="1">IF(AND('Mapa final'!$AA$22="Muy Alta",'Mapa final'!$AC$22="Menor"),CONCATENATE("R4C",'Mapa final'!$Q$22),"")</f>
        <v/>
      </c>
      <c r="T9" s="48" t="e">
        <f>IF(AND('Mapa final'!#REF!="Muy Alta",'Mapa final'!#REF!="Menor"),CONCATENATE("R4C",'Mapa final'!#REF!),"")</f>
        <v>#REF!</v>
      </c>
      <c r="U9" s="49" t="str">
        <f ca="1">IF(AND('Mapa final'!$AA$23="Muy Alta",'Mapa final'!$AC$23="Menor"),CONCATENATE("R4C",'Mapa final'!$Q$23),"")</f>
        <v/>
      </c>
      <c r="V9" s="47" t="str">
        <f>IF(AND('Mapa final'!$AA$19="Muy Alta",'Mapa final'!$AC$19="Moderado"),CONCATENATE("R4C",'Mapa final'!$Q$19),"")</f>
        <v/>
      </c>
      <c r="W9" s="48" t="e">
        <f>IF(AND('Mapa final'!#REF!="Muy Alta",'Mapa final'!#REF!="Moderado"),CONCATENATE("R4C",'Mapa final'!#REF!),"")</f>
        <v>#REF!</v>
      </c>
      <c r="X9" s="48" t="str">
        <f ca="1">IF(AND('Mapa final'!$AA$21="Muy Alta",'Mapa final'!$AC$21="Moderado"),CONCATENATE("R4C",'Mapa final'!$Q$21),"")</f>
        <v/>
      </c>
      <c r="Y9" s="48" t="str">
        <f ca="1">IF(AND('Mapa final'!$AA$22="Muy Alta",'Mapa final'!$AC$22="Moderado"),CONCATENATE("R4C",'Mapa final'!$Q$22),"")</f>
        <v/>
      </c>
      <c r="Z9" s="48" t="e">
        <f>IF(AND('Mapa final'!#REF!="Muy Alta",'Mapa final'!#REF!="Moderado"),CONCATENATE("R4C",'Mapa final'!#REF!),"")</f>
        <v>#REF!</v>
      </c>
      <c r="AA9" s="49" t="str">
        <f ca="1">IF(AND('Mapa final'!$AA$23="Muy Alta",'Mapa final'!$AC$23="Moderado"),CONCATENATE("R4C",'Mapa final'!$Q$23),"")</f>
        <v/>
      </c>
      <c r="AB9" s="47" t="str">
        <f>IF(AND('Mapa final'!$AA$19="Muy Alta",'Mapa final'!$AC$19="Mayor"),CONCATENATE("R4C",'Mapa final'!$Q$19),"")</f>
        <v/>
      </c>
      <c r="AC9" s="48" t="e">
        <f>IF(AND('Mapa final'!#REF!="Muy Alta",'Mapa final'!#REF!="Mayor"),CONCATENATE("R4C",'Mapa final'!#REF!),"")</f>
        <v>#REF!</v>
      </c>
      <c r="AD9" s="48" t="str">
        <f ca="1">IF(AND('Mapa final'!$AA$21="Muy Alta",'Mapa final'!$AC$21="Mayor"),CONCATENATE("R4C",'Mapa final'!$Q$21),"")</f>
        <v/>
      </c>
      <c r="AE9" s="48" t="str">
        <f ca="1">IF(AND('Mapa final'!$AA$22="Muy Alta",'Mapa final'!$AC$22="Mayor"),CONCATENATE("R4C",'Mapa final'!$Q$22),"")</f>
        <v/>
      </c>
      <c r="AF9" s="48" t="e">
        <f>IF(AND('Mapa final'!#REF!="Muy Alta",'Mapa final'!#REF!="Mayor"),CONCATENATE("R4C",'Mapa final'!#REF!),"")</f>
        <v>#REF!</v>
      </c>
      <c r="AG9" s="49" t="str">
        <f ca="1">IF(AND('Mapa final'!$AA$23="Muy Alta",'Mapa final'!$AC$23="Mayor"),CONCATENATE("R4C",'Mapa final'!$Q$23),"")</f>
        <v/>
      </c>
      <c r="AH9" s="50" t="str">
        <f>IF(AND('Mapa final'!$AA$19="Muy Alta",'Mapa final'!$AC$19="Catastrófico"),CONCATENATE("R4C",'Mapa final'!$Q$19),"")</f>
        <v/>
      </c>
      <c r="AI9" s="51" t="e">
        <f>IF(AND('Mapa final'!#REF!="Muy Alta",'Mapa final'!#REF!="Catastrófico"),CONCATENATE("R4C",'Mapa final'!#REF!),"")</f>
        <v>#REF!</v>
      </c>
      <c r="AJ9" s="51" t="str">
        <f ca="1">IF(AND('Mapa final'!$AA$21="Muy Alta",'Mapa final'!$AC$21="Catastrófico"),CONCATENATE("R4C",'Mapa final'!$Q$21),"")</f>
        <v/>
      </c>
      <c r="AK9" s="51" t="str">
        <f ca="1">IF(AND('Mapa final'!$AA$22="Muy Alta",'Mapa final'!$AC$22="Catastrófico"),CONCATENATE("R4C",'Mapa final'!$Q$22),"")</f>
        <v/>
      </c>
      <c r="AL9" s="51" t="e">
        <f>IF(AND('Mapa final'!#REF!="Muy Alta",'Mapa final'!#REF!="Catastrófico"),CONCATENATE("R4C",'Mapa final'!#REF!),"")</f>
        <v>#REF!</v>
      </c>
      <c r="AM9" s="52" t="str">
        <f ca="1">IF(AND('Mapa final'!$AA$23="Muy Alta",'Mapa final'!$AC$23="Catastrófico"),CONCATENATE("R4C",'Mapa final'!$Q$23),"")</f>
        <v/>
      </c>
      <c r="AN9" s="78"/>
      <c r="AO9" s="382"/>
      <c r="AP9" s="383"/>
      <c r="AQ9" s="383"/>
      <c r="AR9" s="383"/>
      <c r="AS9" s="383"/>
      <c r="AT9" s="384"/>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row>
    <row r="10" spans="1:91" ht="15" customHeight="1" x14ac:dyDescent="0.35">
      <c r="A10" s="78"/>
      <c r="B10" s="321"/>
      <c r="C10" s="321"/>
      <c r="D10" s="322"/>
      <c r="E10" s="362"/>
      <c r="F10" s="363"/>
      <c r="G10" s="363"/>
      <c r="H10" s="363"/>
      <c r="I10" s="364"/>
      <c r="J10" s="47" t="e">
        <f>IF(AND('Mapa final'!#REF!="Muy Alta",'Mapa final'!#REF!="Leve"),CONCATENATE("R5C",'Mapa final'!#REF!),"")</f>
        <v>#REF!</v>
      </c>
      <c r="K10" s="48" t="str">
        <f ca="1">IF(AND('Mapa final'!$AA$24="Muy Alta",'Mapa final'!$AC$24="Leve"),CONCATENATE("R5C",'Mapa final'!$Q$24),"")</f>
        <v/>
      </c>
      <c r="L10" s="48" t="str">
        <f ca="1">IF(AND('Mapa final'!$AA$25="Muy Alta",'Mapa final'!$AC$25="Leve"),CONCATENATE("R5C",'Mapa final'!$Q$25),"")</f>
        <v/>
      </c>
      <c r="M10" s="48" t="str">
        <f ca="1">IF(AND('Mapa final'!$AA$26="Muy Alta",'Mapa final'!$AC$26="Leve"),CONCATENATE("R5C",'Mapa final'!$Q$26),"")</f>
        <v/>
      </c>
      <c r="N10" s="48" t="str">
        <f ca="1">IF(AND('Mapa final'!$AA$27="Muy Alta",'Mapa final'!$AC$27="Leve"),CONCATENATE("R5C",'Mapa final'!$Q$27),"")</f>
        <v/>
      </c>
      <c r="O10" s="49" t="str">
        <f ca="1">IF(AND('Mapa final'!$AA$28="Muy Alta",'Mapa final'!$AC$28="Leve"),CONCATENATE("R5C",'Mapa final'!$Q$28),"")</f>
        <v/>
      </c>
      <c r="P10" s="47" t="e">
        <f>IF(AND('Mapa final'!#REF!="Muy Alta",'Mapa final'!#REF!="Menor"),CONCATENATE("R5C",'Mapa final'!#REF!),"")</f>
        <v>#REF!</v>
      </c>
      <c r="Q10" s="48" t="str">
        <f ca="1">IF(AND('Mapa final'!$AA$24="Muy Alta",'Mapa final'!$AC$24="Menor"),CONCATENATE("R5C",'Mapa final'!$Q$24),"")</f>
        <v/>
      </c>
      <c r="R10" s="48" t="str">
        <f ca="1">IF(AND('Mapa final'!$AA$25="Muy Alta",'Mapa final'!$AC$25="Menor"),CONCATENATE("R5C",'Mapa final'!$Q$25),"")</f>
        <v/>
      </c>
      <c r="S10" s="48" t="str">
        <f ca="1">IF(AND('Mapa final'!$AA$26="Muy Alta",'Mapa final'!$AC$26="Menor"),CONCATENATE("R5C",'Mapa final'!$Q$26),"")</f>
        <v/>
      </c>
      <c r="T10" s="48" t="str">
        <f ca="1">IF(AND('Mapa final'!$AA$27="Muy Alta",'Mapa final'!$AC$27="Menor"),CONCATENATE("R5C",'Mapa final'!$Q$27),"")</f>
        <v/>
      </c>
      <c r="U10" s="49" t="str">
        <f ca="1">IF(AND('Mapa final'!$AA$28="Muy Alta",'Mapa final'!$AC$28="Menor"),CONCATENATE("R5C",'Mapa final'!$Q$28),"")</f>
        <v/>
      </c>
      <c r="V10" s="47" t="e">
        <f>IF(AND('Mapa final'!#REF!="Muy Alta",'Mapa final'!#REF!="Moderado"),CONCATENATE("R5C",'Mapa final'!#REF!),"")</f>
        <v>#REF!</v>
      </c>
      <c r="W10" s="48" t="str">
        <f ca="1">IF(AND('Mapa final'!$AA$24="Muy Alta",'Mapa final'!$AC$24="Moderado"),CONCATENATE("R5C",'Mapa final'!$Q$24),"")</f>
        <v/>
      </c>
      <c r="X10" s="48" t="str">
        <f ca="1">IF(AND('Mapa final'!$AA$25="Muy Alta",'Mapa final'!$AC$25="Moderado"),CONCATENATE("R5C",'Mapa final'!$Q$25),"")</f>
        <v/>
      </c>
      <c r="Y10" s="48" t="str">
        <f ca="1">IF(AND('Mapa final'!$AA$26="Muy Alta",'Mapa final'!$AC$26="Moderado"),CONCATENATE("R5C",'Mapa final'!$Q$26),"")</f>
        <v/>
      </c>
      <c r="Z10" s="48" t="str">
        <f ca="1">IF(AND('Mapa final'!$AA$27="Muy Alta",'Mapa final'!$AC$27="Moderado"),CONCATENATE("R5C",'Mapa final'!$Q$27),"")</f>
        <v/>
      </c>
      <c r="AA10" s="49" t="str">
        <f ca="1">IF(AND('Mapa final'!$AA$28="Muy Alta",'Mapa final'!$AC$28="Moderado"),CONCATENATE("R5C",'Mapa final'!$Q$28),"")</f>
        <v/>
      </c>
      <c r="AB10" s="47" t="e">
        <f>IF(AND('Mapa final'!#REF!="Muy Alta",'Mapa final'!#REF!="Mayor"),CONCATENATE("R5C",'Mapa final'!#REF!),"")</f>
        <v>#REF!</v>
      </c>
      <c r="AC10" s="48" t="str">
        <f ca="1">IF(AND('Mapa final'!$AA$24="Muy Alta",'Mapa final'!$AC$24="Mayor"),CONCATENATE("R5C",'Mapa final'!$Q$24),"")</f>
        <v/>
      </c>
      <c r="AD10" s="48" t="str">
        <f ca="1">IF(AND('Mapa final'!$AA$25="Muy Alta",'Mapa final'!$AC$25="Mayor"),CONCATENATE("R5C",'Mapa final'!$Q$25),"")</f>
        <v/>
      </c>
      <c r="AE10" s="48" t="str">
        <f ca="1">IF(AND('Mapa final'!$AA$26="Muy Alta",'Mapa final'!$AC$26="Mayor"),CONCATENATE("R5C",'Mapa final'!$Q$26),"")</f>
        <v/>
      </c>
      <c r="AF10" s="48" t="str">
        <f ca="1">IF(AND('Mapa final'!$AA$27="Muy Alta",'Mapa final'!$AC$27="Mayor"),CONCATENATE("R5C",'Mapa final'!$Q$27),"")</f>
        <v/>
      </c>
      <c r="AG10" s="49" t="str">
        <f ca="1">IF(AND('Mapa final'!$AA$28="Muy Alta",'Mapa final'!$AC$28="Mayor"),CONCATENATE("R5C",'Mapa final'!$Q$28),"")</f>
        <v/>
      </c>
      <c r="AH10" s="50" t="e">
        <f>IF(AND('Mapa final'!#REF!="Muy Alta",'Mapa final'!#REF!="Catastrófico"),CONCATENATE("R5C",'Mapa final'!#REF!),"")</f>
        <v>#REF!</v>
      </c>
      <c r="AI10" s="51" t="str">
        <f ca="1">IF(AND('Mapa final'!$AA$24="Muy Alta",'Mapa final'!$AC$24="Catastrófico"),CONCATENATE("R5C",'Mapa final'!$Q$24),"")</f>
        <v/>
      </c>
      <c r="AJ10" s="51" t="str">
        <f ca="1">IF(AND('Mapa final'!$AA$25="Muy Alta",'Mapa final'!$AC$25="Catastrófico"),CONCATENATE("R5C",'Mapa final'!$Q$25),"")</f>
        <v/>
      </c>
      <c r="AK10" s="51" t="str">
        <f ca="1">IF(AND('Mapa final'!$AA$26="Muy Alta",'Mapa final'!$AC$26="Catastrófico"),CONCATENATE("R5C",'Mapa final'!$Q$26),"")</f>
        <v/>
      </c>
      <c r="AL10" s="51" t="str">
        <f ca="1">IF(AND('Mapa final'!$AA$27="Muy Alta",'Mapa final'!$AC$27="Catastrófico"),CONCATENATE("R5C",'Mapa final'!$Q$27),"")</f>
        <v/>
      </c>
      <c r="AM10" s="52" t="str">
        <f ca="1">IF(AND('Mapa final'!$AA$28="Muy Alta",'Mapa final'!$AC$28="Catastrófico"),CONCATENATE("R5C",'Mapa final'!$Q$28),"")</f>
        <v/>
      </c>
      <c r="AN10" s="78"/>
      <c r="AO10" s="382"/>
      <c r="AP10" s="383"/>
      <c r="AQ10" s="383"/>
      <c r="AR10" s="383"/>
      <c r="AS10" s="383"/>
      <c r="AT10" s="384"/>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row>
    <row r="11" spans="1:91" ht="15" customHeight="1" x14ac:dyDescent="0.35">
      <c r="A11" s="78"/>
      <c r="B11" s="321"/>
      <c r="C11" s="321"/>
      <c r="D11" s="322"/>
      <c r="E11" s="362"/>
      <c r="F11" s="363"/>
      <c r="G11" s="363"/>
      <c r="H11" s="363"/>
      <c r="I11" s="364"/>
      <c r="J11" s="47" t="str">
        <f>IF(AND('Mapa final'!$AA$29="Muy Alta",'Mapa final'!$AC$29="Leve"),CONCATENATE("R6C",'Mapa final'!$Q$29),"")</f>
        <v/>
      </c>
      <c r="K11" s="48" t="e">
        <f>IF(AND('Mapa final'!#REF!="Muy Alta",'Mapa final'!#REF!="Leve"),CONCATENATE("R6C",'Mapa final'!#REF!),"")</f>
        <v>#REF!</v>
      </c>
      <c r="L11" s="48" t="e">
        <f>IF(AND('Mapa final'!#REF!="Muy Alta",'Mapa final'!#REF!="Leve"),CONCATENATE("R6C",'Mapa final'!#REF!),"")</f>
        <v>#REF!</v>
      </c>
      <c r="M11" s="48" t="str">
        <f ca="1">IF(AND('Mapa final'!$AA$30="Muy Alta",'Mapa final'!$AC$30="Leve"),CONCATENATE("R6C",'Mapa final'!$Q$30),"")</f>
        <v/>
      </c>
      <c r="N11" s="48" t="str">
        <f ca="1">IF(AND('Mapa final'!$AA$32="Muy Alta",'Mapa final'!$AC$32="Leve"),CONCATENATE("R6C",'Mapa final'!$Q$32),"")</f>
        <v/>
      </c>
      <c r="O11" s="49" t="e">
        <f>IF(AND('Mapa final'!#REF!="Muy Alta",'Mapa final'!#REF!="Leve"),CONCATENATE("R6C",'Mapa final'!#REF!),"")</f>
        <v>#REF!</v>
      </c>
      <c r="P11" s="47" t="str">
        <f>IF(AND('Mapa final'!$AA$29="Muy Alta",'Mapa final'!$AC$29="Menor"),CONCATENATE("R6C",'Mapa final'!$Q$29),"")</f>
        <v/>
      </c>
      <c r="Q11" s="48" t="e">
        <f>IF(AND('Mapa final'!#REF!="Muy Alta",'Mapa final'!#REF!="Menor"),CONCATENATE("R6C",'Mapa final'!#REF!),"")</f>
        <v>#REF!</v>
      </c>
      <c r="R11" s="48" t="e">
        <f>IF(AND('Mapa final'!#REF!="Muy Alta",'Mapa final'!#REF!="Menor"),CONCATENATE("R6C",'Mapa final'!#REF!),"")</f>
        <v>#REF!</v>
      </c>
      <c r="S11" s="48" t="str">
        <f ca="1">IF(AND('Mapa final'!$AA$30="Muy Alta",'Mapa final'!$AC$30="Menor"),CONCATENATE("R6C",'Mapa final'!$Q$30),"")</f>
        <v/>
      </c>
      <c r="T11" s="48" t="str">
        <f ca="1">IF(AND('Mapa final'!$AA$32="Muy Alta",'Mapa final'!$AC$32="Menor"),CONCATENATE("R6C",'Mapa final'!$Q$32),"")</f>
        <v/>
      </c>
      <c r="U11" s="49" t="e">
        <f>IF(AND('Mapa final'!#REF!="Muy Alta",'Mapa final'!#REF!="Menor"),CONCATENATE("R6C",'Mapa final'!#REF!),"")</f>
        <v>#REF!</v>
      </c>
      <c r="V11" s="47" t="str">
        <f>IF(AND('Mapa final'!$AA$29="Muy Alta",'Mapa final'!$AC$29="Moderado"),CONCATENATE("R6C",'Mapa final'!$Q$29),"")</f>
        <v/>
      </c>
      <c r="W11" s="48" t="e">
        <f>IF(AND('Mapa final'!#REF!="Muy Alta",'Mapa final'!#REF!="Moderado"),CONCATENATE("R6C",'Mapa final'!#REF!),"")</f>
        <v>#REF!</v>
      </c>
      <c r="X11" s="48" t="e">
        <f>IF(AND('Mapa final'!#REF!="Muy Alta",'Mapa final'!#REF!="Moderado"),CONCATENATE("R6C",'Mapa final'!#REF!),"")</f>
        <v>#REF!</v>
      </c>
      <c r="Y11" s="48" t="str">
        <f ca="1">IF(AND('Mapa final'!$AA$30="Muy Alta",'Mapa final'!$AC$30="Moderado"),CONCATENATE("R6C",'Mapa final'!$Q$30),"")</f>
        <v/>
      </c>
      <c r="Z11" s="48" t="str">
        <f ca="1">IF(AND('Mapa final'!$AA$32="Muy Alta",'Mapa final'!$AC$32="Moderado"),CONCATENATE("R6C",'Mapa final'!$Q$32),"")</f>
        <v/>
      </c>
      <c r="AA11" s="49" t="e">
        <f>IF(AND('Mapa final'!#REF!="Muy Alta",'Mapa final'!#REF!="Moderado"),CONCATENATE("R6C",'Mapa final'!#REF!),"")</f>
        <v>#REF!</v>
      </c>
      <c r="AB11" s="47" t="str">
        <f>IF(AND('Mapa final'!$AA$29="Muy Alta",'Mapa final'!$AC$29="Mayor"),CONCATENATE("R6C",'Mapa final'!$Q$29),"")</f>
        <v/>
      </c>
      <c r="AC11" s="48" t="e">
        <f>IF(AND('Mapa final'!#REF!="Muy Alta",'Mapa final'!#REF!="Mayor"),CONCATENATE("R6C",'Mapa final'!#REF!),"")</f>
        <v>#REF!</v>
      </c>
      <c r="AD11" s="48" t="e">
        <f>IF(AND('Mapa final'!#REF!="Muy Alta",'Mapa final'!#REF!="Mayor"),CONCATENATE("R6C",'Mapa final'!#REF!),"")</f>
        <v>#REF!</v>
      </c>
      <c r="AE11" s="48" t="str">
        <f ca="1">IF(AND('Mapa final'!$AA$30="Muy Alta",'Mapa final'!$AC$30="Mayor"),CONCATENATE("R6C",'Mapa final'!$Q$30),"")</f>
        <v/>
      </c>
      <c r="AF11" s="48" t="str">
        <f ca="1">IF(AND('Mapa final'!$AA$32="Muy Alta",'Mapa final'!$AC$32="Mayor"),CONCATENATE("R6C",'Mapa final'!$Q$32),"")</f>
        <v/>
      </c>
      <c r="AG11" s="49" t="e">
        <f>IF(AND('Mapa final'!#REF!="Muy Alta",'Mapa final'!#REF!="Mayor"),CONCATENATE("R6C",'Mapa final'!#REF!),"")</f>
        <v>#REF!</v>
      </c>
      <c r="AH11" s="50" t="str">
        <f>IF(AND('Mapa final'!$AA$29="Muy Alta",'Mapa final'!$AC$29="Catastrófico"),CONCATENATE("R6C",'Mapa final'!$Q$29),"")</f>
        <v/>
      </c>
      <c r="AI11" s="51" t="e">
        <f>IF(AND('Mapa final'!#REF!="Muy Alta",'Mapa final'!#REF!="Catastrófico"),CONCATENATE("R6C",'Mapa final'!#REF!),"")</f>
        <v>#REF!</v>
      </c>
      <c r="AJ11" s="51" t="e">
        <f>IF(AND('Mapa final'!#REF!="Muy Alta",'Mapa final'!#REF!="Catastrófico"),CONCATENATE("R6C",'Mapa final'!#REF!),"")</f>
        <v>#REF!</v>
      </c>
      <c r="AK11" s="51" t="str">
        <f ca="1">IF(AND('Mapa final'!$AA$30="Muy Alta",'Mapa final'!$AC$30="Catastrófico"),CONCATENATE("R6C",'Mapa final'!$Q$30),"")</f>
        <v/>
      </c>
      <c r="AL11" s="51" t="str">
        <f ca="1">IF(AND('Mapa final'!$AA$32="Muy Alta",'Mapa final'!$AC$32="Catastrófico"),CONCATENATE("R6C",'Mapa final'!$Q$32),"")</f>
        <v/>
      </c>
      <c r="AM11" s="52" t="e">
        <f>IF(AND('Mapa final'!#REF!="Muy Alta",'Mapa final'!#REF!="Catastrófico"),CONCATENATE("R6C",'Mapa final'!#REF!),"")</f>
        <v>#REF!</v>
      </c>
      <c r="AN11" s="78"/>
      <c r="AO11" s="382"/>
      <c r="AP11" s="383"/>
      <c r="AQ11" s="383"/>
      <c r="AR11" s="383"/>
      <c r="AS11" s="383"/>
      <c r="AT11" s="384"/>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row>
    <row r="12" spans="1:91" ht="15" customHeight="1" x14ac:dyDescent="0.35">
      <c r="A12" s="78"/>
      <c r="B12" s="321"/>
      <c r="C12" s="321"/>
      <c r="D12" s="322"/>
      <c r="E12" s="362"/>
      <c r="F12" s="363"/>
      <c r="G12" s="363"/>
      <c r="H12" s="363"/>
      <c r="I12" s="364"/>
      <c r="J12" s="47" t="e">
        <f>IF(AND('Mapa final'!#REF!="Muy Alta",'Mapa final'!#REF!="Leve"),CONCATENATE("R7C",'Mapa final'!#REF!),"")</f>
        <v>#REF!</v>
      </c>
      <c r="K12" s="48" t="str">
        <f ca="1">IF(AND('Mapa final'!$AA$34="Muy Alta",'Mapa final'!$AC$34="Leve"),CONCATENATE("R7C",'Mapa final'!$Q$34),"")</f>
        <v/>
      </c>
      <c r="L12" s="48" t="str">
        <f ca="1">IF(AND('Mapa final'!$AA$35="Muy Alta",'Mapa final'!$AC$35="Leve"),CONCATENATE("R7C",'Mapa final'!$Q$35),"")</f>
        <v/>
      </c>
      <c r="M12" s="48" t="e">
        <f>IF(AND('Mapa final'!#REF!="Muy Alta",'Mapa final'!#REF!="Leve"),CONCATENATE("R7C",'Mapa final'!#REF!),"")</f>
        <v>#REF!</v>
      </c>
      <c r="N12" s="48" t="e">
        <f>IF(AND('Mapa final'!#REF!="Muy Alta",'Mapa final'!#REF!="Leve"),CONCATENATE("R7C",'Mapa final'!#REF!),"")</f>
        <v>#REF!</v>
      </c>
      <c r="O12" s="49" t="e">
        <f>IF(AND('Mapa final'!#REF!="Muy Alta",'Mapa final'!#REF!="Leve"),CONCATENATE("R7C",'Mapa final'!#REF!),"")</f>
        <v>#REF!</v>
      </c>
      <c r="P12" s="47" t="e">
        <f>IF(AND('Mapa final'!#REF!="Muy Alta",'Mapa final'!#REF!="Menor"),CONCATENATE("R7C",'Mapa final'!#REF!),"")</f>
        <v>#REF!</v>
      </c>
      <c r="Q12" s="48" t="str">
        <f ca="1">IF(AND('Mapa final'!$AA$34="Muy Alta",'Mapa final'!$AC$34="Menor"),CONCATENATE("R7C",'Mapa final'!$Q$34),"")</f>
        <v/>
      </c>
      <c r="R12" s="48" t="str">
        <f ca="1">IF(AND('Mapa final'!$AA$35="Muy Alta",'Mapa final'!$AC$35="Menor"),CONCATENATE("R7C",'Mapa final'!$Q$35),"")</f>
        <v/>
      </c>
      <c r="S12" s="48" t="e">
        <f>IF(AND('Mapa final'!#REF!="Muy Alta",'Mapa final'!#REF!="Menor"),CONCATENATE("R7C",'Mapa final'!#REF!),"")</f>
        <v>#REF!</v>
      </c>
      <c r="T12" s="48" t="e">
        <f>IF(AND('Mapa final'!#REF!="Muy Alta",'Mapa final'!#REF!="Menor"),CONCATENATE("R7C",'Mapa final'!#REF!),"")</f>
        <v>#REF!</v>
      </c>
      <c r="U12" s="49" t="e">
        <f>IF(AND('Mapa final'!#REF!="Muy Alta",'Mapa final'!#REF!="Menor"),CONCATENATE("R7C",'Mapa final'!#REF!),"")</f>
        <v>#REF!</v>
      </c>
      <c r="V12" s="47" t="e">
        <f>IF(AND('Mapa final'!#REF!="Muy Alta",'Mapa final'!#REF!="Moderado"),CONCATENATE("R7C",'Mapa final'!#REF!),"")</f>
        <v>#REF!</v>
      </c>
      <c r="W12" s="48" t="str">
        <f ca="1">IF(AND('Mapa final'!$AA$34="Muy Alta",'Mapa final'!$AC$34="Moderado"),CONCATENATE("R7C",'Mapa final'!$Q$34),"")</f>
        <v/>
      </c>
      <c r="X12" s="48" t="str">
        <f ca="1">IF(AND('Mapa final'!$AA$35="Muy Alta",'Mapa final'!$AC$35="Moderado"),CONCATENATE("R7C",'Mapa final'!$Q$35),"")</f>
        <v/>
      </c>
      <c r="Y12" s="48" t="e">
        <f>IF(AND('Mapa final'!#REF!="Muy Alta",'Mapa final'!#REF!="Moderado"),CONCATENATE("R7C",'Mapa final'!#REF!),"")</f>
        <v>#REF!</v>
      </c>
      <c r="Z12" s="48" t="e">
        <f>IF(AND('Mapa final'!#REF!="Muy Alta",'Mapa final'!#REF!="Moderado"),CONCATENATE("R7C",'Mapa final'!#REF!),"")</f>
        <v>#REF!</v>
      </c>
      <c r="AA12" s="49" t="e">
        <f>IF(AND('Mapa final'!#REF!="Muy Alta",'Mapa final'!#REF!="Moderado"),CONCATENATE("R7C",'Mapa final'!#REF!),"")</f>
        <v>#REF!</v>
      </c>
      <c r="AB12" s="47" t="e">
        <f>IF(AND('Mapa final'!#REF!="Muy Alta",'Mapa final'!#REF!="Mayor"),CONCATENATE("R7C",'Mapa final'!#REF!),"")</f>
        <v>#REF!</v>
      </c>
      <c r="AC12" s="48" t="str">
        <f ca="1">IF(AND('Mapa final'!$AA$34="Muy Alta",'Mapa final'!$AC$34="Mayor"),CONCATENATE("R7C",'Mapa final'!$Q$34),"")</f>
        <v/>
      </c>
      <c r="AD12" s="48" t="str">
        <f ca="1">IF(AND('Mapa final'!$AA$35="Muy Alta",'Mapa final'!$AC$35="Mayor"),CONCATENATE("R7C",'Mapa final'!$Q$35),"")</f>
        <v/>
      </c>
      <c r="AE12" s="48" t="e">
        <f>IF(AND('Mapa final'!#REF!="Muy Alta",'Mapa final'!#REF!="Mayor"),CONCATENATE("R7C",'Mapa final'!#REF!),"")</f>
        <v>#REF!</v>
      </c>
      <c r="AF12" s="48" t="e">
        <f>IF(AND('Mapa final'!#REF!="Muy Alta",'Mapa final'!#REF!="Mayor"),CONCATENATE("R7C",'Mapa final'!#REF!),"")</f>
        <v>#REF!</v>
      </c>
      <c r="AG12" s="49" t="e">
        <f>IF(AND('Mapa final'!#REF!="Muy Alta",'Mapa final'!#REF!="Mayor"),CONCATENATE("R7C",'Mapa final'!#REF!),"")</f>
        <v>#REF!</v>
      </c>
      <c r="AH12" s="50" t="e">
        <f>IF(AND('Mapa final'!#REF!="Muy Alta",'Mapa final'!#REF!="Catastrófico"),CONCATENATE("R7C",'Mapa final'!#REF!),"")</f>
        <v>#REF!</v>
      </c>
      <c r="AI12" s="51" t="str">
        <f ca="1">IF(AND('Mapa final'!$AA$34="Muy Alta",'Mapa final'!$AC$34="Catastrófico"),CONCATENATE("R7C",'Mapa final'!$Q$34),"")</f>
        <v/>
      </c>
      <c r="AJ12" s="51" t="str">
        <f ca="1">IF(AND('Mapa final'!$AA$35="Muy Alta",'Mapa final'!$AC$35="Catastrófico"),CONCATENATE("R7C",'Mapa final'!$Q$35),"")</f>
        <v/>
      </c>
      <c r="AK12" s="51" t="e">
        <f>IF(AND('Mapa final'!#REF!="Muy Alta",'Mapa final'!#REF!="Catastrófico"),CONCATENATE("R7C",'Mapa final'!#REF!),"")</f>
        <v>#REF!</v>
      </c>
      <c r="AL12" s="51" t="e">
        <f>IF(AND('Mapa final'!#REF!="Muy Alta",'Mapa final'!#REF!="Catastrófico"),CONCATENATE("R7C",'Mapa final'!#REF!),"")</f>
        <v>#REF!</v>
      </c>
      <c r="AM12" s="52" t="e">
        <f>IF(AND('Mapa final'!#REF!="Muy Alta",'Mapa final'!#REF!="Catastrófico"),CONCATENATE("R7C",'Mapa final'!#REF!),"")</f>
        <v>#REF!</v>
      </c>
      <c r="AN12" s="78"/>
      <c r="AO12" s="382"/>
      <c r="AP12" s="383"/>
      <c r="AQ12" s="383"/>
      <c r="AR12" s="383"/>
      <c r="AS12" s="383"/>
      <c r="AT12" s="384"/>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row>
    <row r="13" spans="1:91" ht="15" customHeight="1" x14ac:dyDescent="0.35">
      <c r="A13" s="78"/>
      <c r="B13" s="321"/>
      <c r="C13" s="321"/>
      <c r="D13" s="322"/>
      <c r="E13" s="362"/>
      <c r="F13" s="363"/>
      <c r="G13" s="363"/>
      <c r="H13" s="363"/>
      <c r="I13" s="364"/>
      <c r="J13" s="47" t="e">
        <f>IF(AND('Mapa final'!#REF!="Muy Alta",'Mapa final'!#REF!="Leve"),CONCATENATE("R8C",'Mapa final'!#REF!),"")</f>
        <v>#REF!</v>
      </c>
      <c r="K13" s="48" t="e">
        <f>IF(AND('Mapa final'!#REF!="Muy Alta",'Mapa final'!#REF!="Leve"),CONCATENATE("R8C",'Mapa final'!#REF!),"")</f>
        <v>#REF!</v>
      </c>
      <c r="L13" s="48" t="str">
        <f ca="1">IF(AND('Mapa final'!$AA$36="Muy Alta",'Mapa final'!$AC$36="Leve"),CONCATENATE("R8C",'Mapa final'!$Q$36),"")</f>
        <v/>
      </c>
      <c r="M13" s="48" t="str">
        <f ca="1">IF(AND('Mapa final'!$AA$37="Muy Alta",'Mapa final'!$AC$37="Leve"),CONCATENATE("R8C",'Mapa final'!$Q$37),"")</f>
        <v/>
      </c>
      <c r="N13" s="48" t="e">
        <f>IF(AND('Mapa final'!#REF!="Muy Alta",'Mapa final'!#REF!="Leve"),CONCATENATE("R8C",'Mapa final'!#REF!),"")</f>
        <v>#REF!</v>
      </c>
      <c r="O13" s="49" t="e">
        <f>IF(AND('Mapa final'!#REF!="Muy Alta",'Mapa final'!#REF!="Leve"),CONCATENATE("R8C",'Mapa final'!#REF!),"")</f>
        <v>#REF!</v>
      </c>
      <c r="P13" s="47" t="e">
        <f>IF(AND('Mapa final'!#REF!="Muy Alta",'Mapa final'!#REF!="Menor"),CONCATENATE("R8C",'Mapa final'!#REF!),"")</f>
        <v>#REF!</v>
      </c>
      <c r="Q13" s="48" t="e">
        <f>IF(AND('Mapa final'!#REF!="Muy Alta",'Mapa final'!#REF!="Menor"),CONCATENATE("R8C",'Mapa final'!#REF!),"")</f>
        <v>#REF!</v>
      </c>
      <c r="R13" s="48" t="str">
        <f ca="1">IF(AND('Mapa final'!$AA$36="Muy Alta",'Mapa final'!$AC$36="Menor"),CONCATENATE("R8C",'Mapa final'!$Q$36),"")</f>
        <v/>
      </c>
      <c r="S13" s="48" t="str">
        <f ca="1">IF(AND('Mapa final'!$AA$37="Muy Alta",'Mapa final'!$AC$37="Menor"),CONCATENATE("R8C",'Mapa final'!$Q$37),"")</f>
        <v/>
      </c>
      <c r="T13" s="48" t="e">
        <f>IF(AND('Mapa final'!#REF!="Muy Alta",'Mapa final'!#REF!="Menor"),CONCATENATE("R8C",'Mapa final'!#REF!),"")</f>
        <v>#REF!</v>
      </c>
      <c r="U13" s="49" t="e">
        <f>IF(AND('Mapa final'!#REF!="Muy Alta",'Mapa final'!#REF!="Menor"),CONCATENATE("R8C",'Mapa final'!#REF!),"")</f>
        <v>#REF!</v>
      </c>
      <c r="V13" s="47" t="e">
        <f>IF(AND('Mapa final'!#REF!="Muy Alta",'Mapa final'!#REF!="Moderado"),CONCATENATE("R8C",'Mapa final'!#REF!),"")</f>
        <v>#REF!</v>
      </c>
      <c r="W13" s="48" t="e">
        <f>IF(AND('Mapa final'!#REF!="Muy Alta",'Mapa final'!#REF!="Moderado"),CONCATENATE("R8C",'Mapa final'!#REF!),"")</f>
        <v>#REF!</v>
      </c>
      <c r="X13" s="48" t="str">
        <f ca="1">IF(AND('Mapa final'!$AA$36="Muy Alta",'Mapa final'!$AC$36="Moderado"),CONCATENATE("R8C",'Mapa final'!$Q$36),"")</f>
        <v/>
      </c>
      <c r="Y13" s="48" t="str">
        <f ca="1">IF(AND('Mapa final'!$AA$37="Muy Alta",'Mapa final'!$AC$37="Moderado"),CONCATENATE("R8C",'Mapa final'!$Q$37),"")</f>
        <v/>
      </c>
      <c r="Z13" s="48" t="e">
        <f>IF(AND('Mapa final'!#REF!="Muy Alta",'Mapa final'!#REF!="Moderado"),CONCATENATE("R8C",'Mapa final'!#REF!),"")</f>
        <v>#REF!</v>
      </c>
      <c r="AA13" s="49" t="e">
        <f>IF(AND('Mapa final'!#REF!="Muy Alta",'Mapa final'!#REF!="Moderado"),CONCATENATE("R8C",'Mapa final'!#REF!),"")</f>
        <v>#REF!</v>
      </c>
      <c r="AB13" s="47" t="e">
        <f>IF(AND('Mapa final'!#REF!="Muy Alta",'Mapa final'!#REF!="Mayor"),CONCATENATE("R8C",'Mapa final'!#REF!),"")</f>
        <v>#REF!</v>
      </c>
      <c r="AC13" s="48" t="e">
        <f>IF(AND('Mapa final'!#REF!="Muy Alta",'Mapa final'!#REF!="Mayor"),CONCATENATE("R8C",'Mapa final'!#REF!),"")</f>
        <v>#REF!</v>
      </c>
      <c r="AD13" s="48" t="str">
        <f ca="1">IF(AND('Mapa final'!$AA$36="Muy Alta",'Mapa final'!$AC$36="Mayor"),CONCATENATE("R8C",'Mapa final'!$Q$36),"")</f>
        <v/>
      </c>
      <c r="AE13" s="48" t="str">
        <f ca="1">IF(AND('Mapa final'!$AA$37="Muy Alta",'Mapa final'!$AC$37="Mayor"),CONCATENATE("R8C",'Mapa final'!$Q$37),"")</f>
        <v/>
      </c>
      <c r="AF13" s="48" t="e">
        <f>IF(AND('Mapa final'!#REF!="Muy Alta",'Mapa final'!#REF!="Mayor"),CONCATENATE("R8C",'Mapa final'!#REF!),"")</f>
        <v>#REF!</v>
      </c>
      <c r="AG13" s="49" t="e">
        <f>IF(AND('Mapa final'!#REF!="Muy Alta",'Mapa final'!#REF!="Mayor"),CONCATENATE("R8C",'Mapa final'!#REF!),"")</f>
        <v>#REF!</v>
      </c>
      <c r="AH13" s="50" t="e">
        <f>IF(AND('Mapa final'!#REF!="Muy Alta",'Mapa final'!#REF!="Catastrófico"),CONCATENATE("R8C",'Mapa final'!#REF!),"")</f>
        <v>#REF!</v>
      </c>
      <c r="AI13" s="51" t="e">
        <f>IF(AND('Mapa final'!#REF!="Muy Alta",'Mapa final'!#REF!="Catastrófico"),CONCATENATE("R8C",'Mapa final'!#REF!),"")</f>
        <v>#REF!</v>
      </c>
      <c r="AJ13" s="51" t="str">
        <f ca="1">IF(AND('Mapa final'!$AA$36="Muy Alta",'Mapa final'!$AC$36="Catastrófico"),CONCATENATE("R8C",'Mapa final'!$Q$36),"")</f>
        <v/>
      </c>
      <c r="AK13" s="51" t="str">
        <f ca="1">IF(AND('Mapa final'!$AA$37="Muy Alta",'Mapa final'!$AC$37="Catastrófico"),CONCATENATE("R8C",'Mapa final'!$Q$37),"")</f>
        <v/>
      </c>
      <c r="AL13" s="51" t="e">
        <f>IF(AND('Mapa final'!#REF!="Muy Alta",'Mapa final'!#REF!="Catastrófico"),CONCATENATE("R8C",'Mapa final'!#REF!),"")</f>
        <v>#REF!</v>
      </c>
      <c r="AM13" s="52" t="e">
        <f>IF(AND('Mapa final'!#REF!="Muy Alta",'Mapa final'!#REF!="Catastrófico"),CONCATENATE("R8C",'Mapa final'!#REF!),"")</f>
        <v>#REF!</v>
      </c>
      <c r="AN13" s="78"/>
      <c r="AO13" s="382"/>
      <c r="AP13" s="383"/>
      <c r="AQ13" s="383"/>
      <c r="AR13" s="383"/>
      <c r="AS13" s="383"/>
      <c r="AT13" s="384"/>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row>
    <row r="14" spans="1:91" ht="15" customHeight="1" x14ac:dyDescent="0.35">
      <c r="A14" s="78"/>
      <c r="B14" s="321"/>
      <c r="C14" s="321"/>
      <c r="D14" s="322"/>
      <c r="E14" s="362"/>
      <c r="F14" s="363"/>
      <c r="G14" s="363"/>
      <c r="H14" s="363"/>
      <c r="I14" s="364"/>
      <c r="J14" s="47" t="str">
        <f>IF(AND('Mapa final'!$AA$38="Muy Alta",'Mapa final'!$AC$38="Leve"),CONCATENATE("R9C",'Mapa final'!$Q$38),"")</f>
        <v/>
      </c>
      <c r="K14" s="48" t="str">
        <f ca="1">IF(AND('Mapa final'!$AA$39="Muy Alta",'Mapa final'!$AC$39="Leve"),CONCATENATE("R9C",'Mapa final'!$Q$39),"")</f>
        <v/>
      </c>
      <c r="L14" s="48" t="e">
        <f>IF(AND('Mapa final'!#REF!="Muy Alta",'Mapa final'!#REF!="Leve"),CONCATENATE("R9C",'Mapa final'!#REF!),"")</f>
        <v>#REF!</v>
      </c>
      <c r="M14" s="48" t="str">
        <f ca="1">IF(AND('Mapa final'!$AA$40="Muy Alta",'Mapa final'!$AC$40="Leve"),CONCATENATE("R9C",'Mapa final'!$Q$40),"")</f>
        <v/>
      </c>
      <c r="N14" s="48" t="str">
        <f ca="1">IF(AND('Mapa final'!$AA$42="Muy Alta",'Mapa final'!$AC$42="Leve"),CONCATENATE("R9C",'Mapa final'!$Q$42),"")</f>
        <v/>
      </c>
      <c r="O14" s="49" t="str">
        <f ca="1">IF(AND('Mapa final'!$AA$43="Muy Alta",'Mapa final'!$AC$43="Leve"),CONCATENATE("R9C",'Mapa final'!$Q$43),"")</f>
        <v/>
      </c>
      <c r="P14" s="47" t="str">
        <f>IF(AND('Mapa final'!$AA$38="Muy Alta",'Mapa final'!$AC$38="Menor"),CONCATENATE("R9C",'Mapa final'!$Q$38),"")</f>
        <v/>
      </c>
      <c r="Q14" s="48" t="str">
        <f ca="1">IF(AND('Mapa final'!$AA$39="Muy Alta",'Mapa final'!$AC$39="Menor"),CONCATENATE("R9C",'Mapa final'!$Q$39),"")</f>
        <v/>
      </c>
      <c r="R14" s="48" t="e">
        <f>IF(AND('Mapa final'!#REF!="Muy Alta",'Mapa final'!#REF!="Menor"),CONCATENATE("R9C",'Mapa final'!#REF!),"")</f>
        <v>#REF!</v>
      </c>
      <c r="S14" s="48" t="str">
        <f ca="1">IF(AND('Mapa final'!$AA$40="Muy Alta",'Mapa final'!$AC$40="Menor"),CONCATENATE("R9C",'Mapa final'!$Q$40),"")</f>
        <v/>
      </c>
      <c r="T14" s="48" t="str">
        <f ca="1">IF(AND('Mapa final'!$AA$42="Muy Alta",'Mapa final'!$AC$42="Menor"),CONCATENATE("R9C",'Mapa final'!$Q$42),"")</f>
        <v/>
      </c>
      <c r="U14" s="49" t="str">
        <f ca="1">IF(AND('Mapa final'!$AA$43="Muy Alta",'Mapa final'!$AC$43="Menor"),CONCATENATE("R9C",'Mapa final'!$Q$43),"")</f>
        <v/>
      </c>
      <c r="V14" s="47" t="str">
        <f>IF(AND('Mapa final'!$AA$38="Muy Alta",'Mapa final'!$AC$38="Moderado"),CONCATENATE("R9C",'Mapa final'!$Q$38),"")</f>
        <v/>
      </c>
      <c r="W14" s="48" t="str">
        <f ca="1">IF(AND('Mapa final'!$AA$39="Muy Alta",'Mapa final'!$AC$39="Moderado"),CONCATENATE("R9C",'Mapa final'!$Q$39),"")</f>
        <v/>
      </c>
      <c r="X14" s="48" t="e">
        <f>IF(AND('Mapa final'!#REF!="Muy Alta",'Mapa final'!#REF!="Moderado"),CONCATENATE("R9C",'Mapa final'!#REF!),"")</f>
        <v>#REF!</v>
      </c>
      <c r="Y14" s="48" t="str">
        <f ca="1">IF(AND('Mapa final'!$AA$40="Muy Alta",'Mapa final'!$AC$40="Moderado"),CONCATENATE("R9C",'Mapa final'!$Q$40),"")</f>
        <v/>
      </c>
      <c r="Z14" s="48" t="str">
        <f ca="1">IF(AND('Mapa final'!$AA$42="Muy Alta",'Mapa final'!$AC$42="Moderado"),CONCATENATE("R9C",'Mapa final'!$Q$42),"")</f>
        <v/>
      </c>
      <c r="AA14" s="49" t="str">
        <f ca="1">IF(AND('Mapa final'!$AA$43="Muy Alta",'Mapa final'!$AC$43="Moderado"),CONCATENATE("R9C",'Mapa final'!$Q$43),"")</f>
        <v/>
      </c>
      <c r="AB14" s="47" t="str">
        <f>IF(AND('Mapa final'!$AA$38="Muy Alta",'Mapa final'!$AC$38="Mayor"),CONCATENATE("R9C",'Mapa final'!$Q$38),"")</f>
        <v/>
      </c>
      <c r="AC14" s="48" t="str">
        <f ca="1">IF(AND('Mapa final'!$AA$39="Muy Alta",'Mapa final'!$AC$39="Mayor"),CONCATENATE("R9C",'Mapa final'!$Q$39),"")</f>
        <v/>
      </c>
      <c r="AD14" s="48" t="e">
        <f>IF(AND('Mapa final'!#REF!="Muy Alta",'Mapa final'!#REF!="Mayor"),CONCATENATE("R9C",'Mapa final'!#REF!),"")</f>
        <v>#REF!</v>
      </c>
      <c r="AE14" s="48" t="str">
        <f ca="1">IF(AND('Mapa final'!$AA$40="Muy Alta",'Mapa final'!$AC$40="Mayor"),CONCATENATE("R9C",'Mapa final'!$Q$40),"")</f>
        <v/>
      </c>
      <c r="AF14" s="48" t="str">
        <f ca="1">IF(AND('Mapa final'!$AA$42="Muy Alta",'Mapa final'!$AC$42="Mayor"),CONCATENATE("R9C",'Mapa final'!$Q$42),"")</f>
        <v/>
      </c>
      <c r="AG14" s="49" t="str">
        <f ca="1">IF(AND('Mapa final'!$AA$43="Muy Alta",'Mapa final'!$AC$43="Mayor"),CONCATENATE("R9C",'Mapa final'!$Q$43),"")</f>
        <v/>
      </c>
      <c r="AH14" s="50" t="str">
        <f>IF(AND('Mapa final'!$AA$38="Muy Alta",'Mapa final'!$AC$38="Catastrófico"),CONCATENATE("R9C",'Mapa final'!$Q$38),"")</f>
        <v/>
      </c>
      <c r="AI14" s="51" t="str">
        <f ca="1">IF(AND('Mapa final'!$AA$39="Muy Alta",'Mapa final'!$AC$39="Catastrófico"),CONCATENATE("R9C",'Mapa final'!$Q$39),"")</f>
        <v/>
      </c>
      <c r="AJ14" s="51" t="e">
        <f>IF(AND('Mapa final'!#REF!="Muy Alta",'Mapa final'!#REF!="Catastrófico"),CONCATENATE("R9C",'Mapa final'!#REF!),"")</f>
        <v>#REF!</v>
      </c>
      <c r="AK14" s="51" t="str">
        <f ca="1">IF(AND('Mapa final'!$AA$40="Muy Alta",'Mapa final'!$AC$40="Catastrófico"),CONCATENATE("R9C",'Mapa final'!$Q$40),"")</f>
        <v/>
      </c>
      <c r="AL14" s="51" t="str">
        <f ca="1">IF(AND('Mapa final'!$AA$42="Muy Alta",'Mapa final'!$AC$42="Catastrófico"),CONCATENATE("R9C",'Mapa final'!$Q$42),"")</f>
        <v/>
      </c>
      <c r="AM14" s="52" t="str">
        <f ca="1">IF(AND('Mapa final'!$AA$43="Muy Alta",'Mapa final'!$AC$43="Catastrófico"),CONCATENATE("R9C",'Mapa final'!$Q$43),"")</f>
        <v/>
      </c>
      <c r="AN14" s="78"/>
      <c r="AO14" s="382"/>
      <c r="AP14" s="383"/>
      <c r="AQ14" s="383"/>
      <c r="AR14" s="383"/>
      <c r="AS14" s="383"/>
      <c r="AT14" s="384"/>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row>
    <row r="15" spans="1:91" ht="15.75" customHeight="1" thickBot="1" x14ac:dyDescent="0.4">
      <c r="A15" s="78"/>
      <c r="B15" s="321"/>
      <c r="C15" s="321"/>
      <c r="D15" s="322"/>
      <c r="E15" s="365"/>
      <c r="F15" s="366"/>
      <c r="G15" s="366"/>
      <c r="H15" s="366"/>
      <c r="I15" s="367"/>
      <c r="J15" s="53" t="e">
        <f>IF(AND('Mapa final'!#REF!="Muy Alta",'Mapa final'!#REF!="Leve"),CONCATENATE("R10C",'Mapa final'!#REF!),"")</f>
        <v>#REF!</v>
      </c>
      <c r="K15" s="54" t="str">
        <f ca="1">IF(AND('Mapa final'!$AA$44="Muy Alta",'Mapa final'!$AC$44="Leve"),CONCATENATE("R10C",'Mapa final'!$Q$44),"")</f>
        <v/>
      </c>
      <c r="L15" s="54" t="e">
        <f>IF(AND('Mapa final'!#REF!="Muy Alta",'Mapa final'!#REF!="Leve"),CONCATENATE("R10C",'Mapa final'!#REF!),"")</f>
        <v>#REF!</v>
      </c>
      <c r="M15" s="54" t="e">
        <f>IF(AND('Mapa final'!#REF!="Muy Alta",'Mapa final'!#REF!="Leve"),CONCATENATE("R10C",'Mapa final'!#REF!),"")</f>
        <v>#REF!</v>
      </c>
      <c r="N15" s="54" t="e">
        <f>IF(AND('Mapa final'!#REF!="Muy Alta",'Mapa final'!#REF!="Leve"),CONCATENATE("R10C",'Mapa final'!#REF!),"")</f>
        <v>#REF!</v>
      </c>
      <c r="O15" s="55" t="e">
        <f>IF(AND('Mapa final'!#REF!="Muy Alta",'Mapa final'!#REF!="Leve"),CONCATENATE("R10C",'Mapa final'!#REF!),"")</f>
        <v>#REF!</v>
      </c>
      <c r="P15" s="47" t="e">
        <f>IF(AND('Mapa final'!#REF!="Muy Alta",'Mapa final'!#REF!="Menor"),CONCATENATE("R10C",'Mapa final'!#REF!),"")</f>
        <v>#REF!</v>
      </c>
      <c r="Q15" s="48" t="str">
        <f ca="1">IF(AND('Mapa final'!$AA$44="Muy Alta",'Mapa final'!$AC$44="Menor"),CONCATENATE("R10C",'Mapa final'!$Q$44),"")</f>
        <v/>
      </c>
      <c r="R15" s="48" t="e">
        <f>IF(AND('Mapa final'!#REF!="Muy Alta",'Mapa final'!#REF!="Menor"),CONCATENATE("R10C",'Mapa final'!#REF!),"")</f>
        <v>#REF!</v>
      </c>
      <c r="S15" s="48" t="e">
        <f>IF(AND('Mapa final'!#REF!="Muy Alta",'Mapa final'!#REF!="Menor"),CONCATENATE("R10C",'Mapa final'!#REF!),"")</f>
        <v>#REF!</v>
      </c>
      <c r="T15" s="48" t="e">
        <f>IF(AND('Mapa final'!#REF!="Muy Alta",'Mapa final'!#REF!="Menor"),CONCATENATE("R10C",'Mapa final'!#REF!),"")</f>
        <v>#REF!</v>
      </c>
      <c r="U15" s="49" t="e">
        <f>IF(AND('Mapa final'!#REF!="Muy Alta",'Mapa final'!#REF!="Menor"),CONCATENATE("R10C",'Mapa final'!#REF!),"")</f>
        <v>#REF!</v>
      </c>
      <c r="V15" s="53" t="e">
        <f>IF(AND('Mapa final'!#REF!="Muy Alta",'Mapa final'!#REF!="Moderado"),CONCATENATE("R10C",'Mapa final'!#REF!),"")</f>
        <v>#REF!</v>
      </c>
      <c r="W15" s="54" t="str">
        <f ca="1">IF(AND('Mapa final'!$AA$44="Muy Alta",'Mapa final'!$AC$44="Moderado"),CONCATENATE("R10C",'Mapa final'!$Q$44),"")</f>
        <v/>
      </c>
      <c r="X15" s="54" t="e">
        <f>IF(AND('Mapa final'!#REF!="Muy Alta",'Mapa final'!#REF!="Moderado"),CONCATENATE("R10C",'Mapa final'!#REF!),"")</f>
        <v>#REF!</v>
      </c>
      <c r="Y15" s="54" t="e">
        <f>IF(AND('Mapa final'!#REF!="Muy Alta",'Mapa final'!#REF!="Moderado"),CONCATENATE("R10C",'Mapa final'!#REF!),"")</f>
        <v>#REF!</v>
      </c>
      <c r="Z15" s="54" t="e">
        <f>IF(AND('Mapa final'!#REF!="Muy Alta",'Mapa final'!#REF!="Moderado"),CONCATENATE("R10C",'Mapa final'!#REF!),"")</f>
        <v>#REF!</v>
      </c>
      <c r="AA15" s="55" t="e">
        <f>IF(AND('Mapa final'!#REF!="Muy Alta",'Mapa final'!#REF!="Moderado"),CONCATENATE("R10C",'Mapa final'!#REF!),"")</f>
        <v>#REF!</v>
      </c>
      <c r="AB15" s="47" t="e">
        <f>IF(AND('Mapa final'!#REF!="Muy Alta",'Mapa final'!#REF!="Mayor"),CONCATENATE("R10C",'Mapa final'!#REF!),"")</f>
        <v>#REF!</v>
      </c>
      <c r="AC15" s="48" t="str">
        <f ca="1">IF(AND('Mapa final'!$AA$44="Muy Alta",'Mapa final'!$AC$44="Mayor"),CONCATENATE("R10C",'Mapa final'!$Q$44),"")</f>
        <v/>
      </c>
      <c r="AD15" s="48" t="e">
        <f>IF(AND('Mapa final'!#REF!="Muy Alta",'Mapa final'!#REF!="Mayor"),CONCATENATE("R10C",'Mapa final'!#REF!),"")</f>
        <v>#REF!</v>
      </c>
      <c r="AE15" s="48" t="e">
        <f>IF(AND('Mapa final'!#REF!="Muy Alta",'Mapa final'!#REF!="Mayor"),CONCATENATE("R10C",'Mapa final'!#REF!),"")</f>
        <v>#REF!</v>
      </c>
      <c r="AF15" s="48" t="e">
        <f>IF(AND('Mapa final'!#REF!="Muy Alta",'Mapa final'!#REF!="Mayor"),CONCATENATE("R10C",'Mapa final'!#REF!),"")</f>
        <v>#REF!</v>
      </c>
      <c r="AG15" s="49" t="e">
        <f>IF(AND('Mapa final'!#REF!="Muy Alta",'Mapa final'!#REF!="Mayor"),CONCATENATE("R10C",'Mapa final'!#REF!),"")</f>
        <v>#REF!</v>
      </c>
      <c r="AH15" s="56" t="e">
        <f>IF(AND('Mapa final'!#REF!="Muy Alta",'Mapa final'!#REF!="Catastrófico"),CONCATENATE("R10C",'Mapa final'!#REF!),"")</f>
        <v>#REF!</v>
      </c>
      <c r="AI15" s="57" t="str">
        <f ca="1">IF(AND('Mapa final'!$AA$44="Muy Alta",'Mapa final'!$AC$44="Catastrófico"),CONCATENATE("R10C",'Mapa final'!$Q$44),"")</f>
        <v/>
      </c>
      <c r="AJ15" s="57" t="e">
        <f>IF(AND('Mapa final'!#REF!="Muy Alta",'Mapa final'!#REF!="Catastrófico"),CONCATENATE("R10C",'Mapa final'!#REF!),"")</f>
        <v>#REF!</v>
      </c>
      <c r="AK15" s="57" t="e">
        <f>IF(AND('Mapa final'!#REF!="Muy Alta",'Mapa final'!#REF!="Catastrófico"),CONCATENATE("R10C",'Mapa final'!#REF!),"")</f>
        <v>#REF!</v>
      </c>
      <c r="AL15" s="57" t="e">
        <f>IF(AND('Mapa final'!#REF!="Muy Alta",'Mapa final'!#REF!="Catastrófico"),CONCATENATE("R10C",'Mapa final'!#REF!),"")</f>
        <v>#REF!</v>
      </c>
      <c r="AM15" s="58" t="e">
        <f>IF(AND('Mapa final'!#REF!="Muy Alta",'Mapa final'!#REF!="Catastrófico"),CONCATENATE("R10C",'Mapa final'!#REF!),"")</f>
        <v>#REF!</v>
      </c>
      <c r="AN15" s="78"/>
      <c r="AO15" s="385"/>
      <c r="AP15" s="386"/>
      <c r="AQ15" s="386"/>
      <c r="AR15" s="386"/>
      <c r="AS15" s="386"/>
      <c r="AT15" s="387"/>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row>
    <row r="16" spans="1:91" ht="15" customHeight="1" x14ac:dyDescent="0.35">
      <c r="A16" s="78"/>
      <c r="B16" s="321"/>
      <c r="C16" s="321"/>
      <c r="D16" s="322"/>
      <c r="E16" s="359" t="s">
        <v>114</v>
      </c>
      <c r="F16" s="360"/>
      <c r="G16" s="360"/>
      <c r="H16" s="360"/>
      <c r="I16" s="360"/>
      <c r="J16" s="59" t="str">
        <f>IF(AND('Mapa final'!$AA$6="Alta",'Mapa final'!$AC$6="Leve"),CONCATENATE("R1C",'Mapa final'!$Q$6),"")</f>
        <v/>
      </c>
      <c r="K16" s="60" t="str">
        <f ca="1">IF(AND('Mapa final'!$AA$7="Alta",'Mapa final'!$AC$7="Leve"),CONCATENATE("R1C",'Mapa final'!$Q$7),"")</f>
        <v/>
      </c>
      <c r="L16" s="60" t="str">
        <f ca="1">IF(AND('Mapa final'!$AA$8="Alta",'Mapa final'!$AC$8="Leve"),CONCATENATE("R1C",'Mapa final'!$Q$8),"")</f>
        <v/>
      </c>
      <c r="M16" s="60" t="str">
        <f ca="1">IF(AND('Mapa final'!$AA$9="Alta",'Mapa final'!$AC$9="Leve"),CONCATENATE("R1C",'Mapa final'!$Q$9),"")</f>
        <v/>
      </c>
      <c r="N16" s="60" t="str">
        <f ca="1">IF(AND('Mapa final'!$AA$10="Alta",'Mapa final'!$AC$10="Leve"),CONCATENATE("R1C",'Mapa final'!$Q$10),"")</f>
        <v/>
      </c>
      <c r="O16" s="61" t="str">
        <f ca="1">IF(AND('Mapa final'!$AA$11="Alta",'Mapa final'!$AC$11="Leve"),CONCATENATE("R1C",'Mapa final'!$Q$11),"")</f>
        <v/>
      </c>
      <c r="P16" s="59" t="str">
        <f>IF(AND('Mapa final'!$AA$6="Alta",'Mapa final'!$AC$6="Menor"),CONCATENATE("R1C",'Mapa final'!$Q$6),"")</f>
        <v/>
      </c>
      <c r="Q16" s="60" t="str">
        <f ca="1">IF(AND('Mapa final'!$AA$7="Alta",'Mapa final'!$AC$7="Menor"),CONCATENATE("R1C",'Mapa final'!$Q$7),"")</f>
        <v/>
      </c>
      <c r="R16" s="60" t="str">
        <f ca="1">IF(AND('Mapa final'!$AA$8="Alta",'Mapa final'!$AC$8="Menor"),CONCATENATE("R1C",'Mapa final'!$Q$8),"")</f>
        <v/>
      </c>
      <c r="S16" s="60" t="str">
        <f ca="1">IF(AND('Mapa final'!$AA$9="Alta",'Mapa final'!$AC$9="Menor"),CONCATENATE("R1C",'Mapa final'!$Q$9),"")</f>
        <v/>
      </c>
      <c r="T16" s="60" t="str">
        <f ca="1">IF(AND('Mapa final'!$AA$10="Alta",'Mapa final'!$AC$10="Menor"),CONCATENATE("R1C",'Mapa final'!$Q$10),"")</f>
        <v/>
      </c>
      <c r="U16" s="61" t="str">
        <f ca="1">IF(AND('Mapa final'!$AA$11="Alta",'Mapa final'!$AC$11="Menor"),CONCATENATE("R1C",'Mapa final'!$Q$11),"")</f>
        <v/>
      </c>
      <c r="V16" s="41" t="str">
        <f>IF(AND('Mapa final'!$AA$6="Alta",'Mapa final'!$AC$6="Moderado"),CONCATENATE("R1C",'Mapa final'!$Q$6),"")</f>
        <v/>
      </c>
      <c r="W16" s="42" t="str">
        <f ca="1">IF(AND('Mapa final'!$AA$7="Alta",'Mapa final'!$AC$7="Moderado"),CONCATENATE("R1C",'Mapa final'!$Q$7),"")</f>
        <v/>
      </c>
      <c r="X16" s="42" t="str">
        <f ca="1">IF(AND('Mapa final'!$AA$8="Alta",'Mapa final'!$AC$8="Moderado"),CONCATENATE("R1C",'Mapa final'!$Q$8),"")</f>
        <v/>
      </c>
      <c r="Y16" s="42" t="str">
        <f ca="1">IF(AND('Mapa final'!$AA$9="Alta",'Mapa final'!$AC$9="Moderado"),CONCATENATE("R1C",'Mapa final'!$Q$9),"")</f>
        <v/>
      </c>
      <c r="Z16" s="42" t="str">
        <f ca="1">IF(AND('Mapa final'!$AA$10="Alta",'Mapa final'!$AC$10="Moderado"),CONCATENATE("R1C",'Mapa final'!$Q$10),"")</f>
        <v/>
      </c>
      <c r="AA16" s="43" t="str">
        <f ca="1">IF(AND('Mapa final'!$AA$11="Alta",'Mapa final'!$AC$11="Moderado"),CONCATENATE("R1C",'Mapa final'!$Q$11),"")</f>
        <v/>
      </c>
      <c r="AB16" s="41" t="str">
        <f>IF(AND('Mapa final'!$AA$6="Alta",'Mapa final'!$AC$6="Mayor"),CONCATENATE("R1C",'Mapa final'!$Q$6),"")</f>
        <v/>
      </c>
      <c r="AC16" s="42" t="str">
        <f ca="1">IF(AND('Mapa final'!$AA$7="Alta",'Mapa final'!$AC$7="Mayor"),CONCATENATE("R1C",'Mapa final'!$Q$7),"")</f>
        <v/>
      </c>
      <c r="AD16" s="42" t="str">
        <f ca="1">IF(AND('Mapa final'!$AA$8="Alta",'Mapa final'!$AC$8="Mayor"),CONCATENATE("R1C",'Mapa final'!$Q$8),"")</f>
        <v/>
      </c>
      <c r="AE16" s="42" t="str">
        <f ca="1">IF(AND('Mapa final'!$AA$9="Alta",'Mapa final'!$AC$9="Mayor"),CONCATENATE("R1C",'Mapa final'!$Q$9),"")</f>
        <v/>
      </c>
      <c r="AF16" s="42" t="str">
        <f ca="1">IF(AND('Mapa final'!$AA$10="Alta",'Mapa final'!$AC$10="Mayor"),CONCATENATE("R1C",'Mapa final'!$Q$10),"")</f>
        <v/>
      </c>
      <c r="AG16" s="43" t="str">
        <f ca="1">IF(AND('Mapa final'!$AA$11="Alta",'Mapa final'!$AC$11="Mayor"),CONCATENATE("R1C",'Mapa final'!$Q$11),"")</f>
        <v/>
      </c>
      <c r="AH16" s="44" t="str">
        <f>IF(AND('Mapa final'!$AA$6="Alta",'Mapa final'!$AC$6="Catastrófico"),CONCATENATE("R1C",'Mapa final'!$Q$6),"")</f>
        <v/>
      </c>
      <c r="AI16" s="45" t="str">
        <f ca="1">IF(AND('Mapa final'!$AA$7="Alta",'Mapa final'!$AC$7="Catastrófico"),CONCATENATE("R1C",'Mapa final'!$Q$7),"")</f>
        <v/>
      </c>
      <c r="AJ16" s="45" t="str">
        <f ca="1">IF(AND('Mapa final'!$AA$8="Alta",'Mapa final'!$AC$8="Catastrófico"),CONCATENATE("R1C",'Mapa final'!$Q$8),"")</f>
        <v/>
      </c>
      <c r="AK16" s="45" t="str">
        <f ca="1">IF(AND('Mapa final'!$AA$9="Alta",'Mapa final'!$AC$9="Catastrófico"),CONCATENATE("R1C",'Mapa final'!$Q$9),"")</f>
        <v/>
      </c>
      <c r="AL16" s="45" t="str">
        <f ca="1">IF(AND('Mapa final'!$AA$10="Alta",'Mapa final'!$AC$10="Catastrófico"),CONCATENATE("R1C",'Mapa final'!$Q$10),"")</f>
        <v/>
      </c>
      <c r="AM16" s="46" t="str">
        <f ca="1">IF(AND('Mapa final'!$AA$11="Alta",'Mapa final'!$AC$11="Catastrófico"),CONCATENATE("R1C",'Mapa final'!$Q$11),"")</f>
        <v/>
      </c>
      <c r="AN16" s="78"/>
      <c r="AO16" s="369" t="s">
        <v>79</v>
      </c>
      <c r="AP16" s="370"/>
      <c r="AQ16" s="370"/>
      <c r="AR16" s="370"/>
      <c r="AS16" s="370"/>
      <c r="AT16" s="371"/>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row>
    <row r="17" spans="1:76" ht="15" customHeight="1" x14ac:dyDescent="0.35">
      <c r="A17" s="78"/>
      <c r="B17" s="321"/>
      <c r="C17" s="321"/>
      <c r="D17" s="322"/>
      <c r="E17" s="378"/>
      <c r="F17" s="363"/>
      <c r="G17" s="363"/>
      <c r="H17" s="363"/>
      <c r="I17" s="363"/>
      <c r="J17" s="62" t="str">
        <f>IF(AND('Mapa final'!$AA$12="Alta",'Mapa final'!$AC$12="Leve"),CONCATENATE("R2C",'Mapa final'!$Q$12),"")</f>
        <v/>
      </c>
      <c r="K17" s="63" t="str">
        <f ca="1">IF(AND('Mapa final'!$AA$13="Alta",'Mapa final'!$AC$13="Leve"),CONCATENATE("R2C",'Mapa final'!$Q$13),"")</f>
        <v/>
      </c>
      <c r="L17" s="63" t="str">
        <f ca="1">IF(AND('Mapa final'!$AA$14="Alta",'Mapa final'!$AC$14="Leve"),CONCATENATE("R2C",'Mapa final'!$Q$14),"")</f>
        <v/>
      </c>
      <c r="M17" s="63" t="str">
        <f ca="1">IF(AND('Mapa final'!$AA$15="Alta",'Mapa final'!$AC$15="Leve"),CONCATENATE("R2C",'Mapa final'!$Q$15),"")</f>
        <v/>
      </c>
      <c r="N17" s="63" t="str">
        <f ca="1">IF(AND('Mapa final'!$AA$16="Alta",'Mapa final'!$AC$16="Leve"),CONCATENATE("R2C",'Mapa final'!$Q$16),"")</f>
        <v/>
      </c>
      <c r="O17" s="64" t="e">
        <f>IF(AND('Mapa final'!#REF!="Alta",'Mapa final'!#REF!="Leve"),CONCATENATE("R2C",'Mapa final'!#REF!),"")</f>
        <v>#REF!</v>
      </c>
      <c r="P17" s="62" t="str">
        <f>IF(AND('Mapa final'!$AA$12="Alta",'Mapa final'!$AC$12="Menor"),CONCATENATE("R2C",'Mapa final'!$Q$12),"")</f>
        <v/>
      </c>
      <c r="Q17" s="63" t="str">
        <f ca="1">IF(AND('Mapa final'!$AA$13="Alta",'Mapa final'!$AC$13="Menor"),CONCATENATE("R2C",'Mapa final'!$Q$13),"")</f>
        <v/>
      </c>
      <c r="R17" s="63" t="str">
        <f ca="1">IF(AND('Mapa final'!$AA$14="Alta",'Mapa final'!$AC$14="Menor"),CONCATENATE("R2C",'Mapa final'!$Q$14),"")</f>
        <v/>
      </c>
      <c r="S17" s="63" t="str">
        <f ca="1">IF(AND('Mapa final'!$AA$15="Alta",'Mapa final'!$AC$15="Menor"),CONCATENATE("R2C",'Mapa final'!$Q$15),"")</f>
        <v/>
      </c>
      <c r="T17" s="63" t="str">
        <f ca="1">IF(AND('Mapa final'!$AA$16="Alta",'Mapa final'!$AC$16="Menor"),CONCATENATE("R2C",'Mapa final'!$Q$16),"")</f>
        <v/>
      </c>
      <c r="U17" s="64" t="e">
        <f>IF(AND('Mapa final'!#REF!="Alta",'Mapa final'!#REF!="Menor"),CONCATENATE("R2C",'Mapa final'!#REF!),"")</f>
        <v>#REF!</v>
      </c>
      <c r="V17" s="47" t="str">
        <f>IF(AND('Mapa final'!$AA$12="Alta",'Mapa final'!$AC$12="Moderado"),CONCATENATE("R2C",'Mapa final'!$Q$12),"")</f>
        <v/>
      </c>
      <c r="W17" s="48" t="str">
        <f ca="1">IF(AND('Mapa final'!$AA$13="Alta",'Mapa final'!$AC$13="Moderado"),CONCATENATE("R2C",'Mapa final'!$Q$13),"")</f>
        <v/>
      </c>
      <c r="X17" s="48" t="str">
        <f ca="1">IF(AND('Mapa final'!$AA$14="Alta",'Mapa final'!$AC$14="Moderado"),CONCATENATE("R2C",'Mapa final'!$Q$14),"")</f>
        <v/>
      </c>
      <c r="Y17" s="48" t="str">
        <f ca="1">IF(AND('Mapa final'!$AA$15="Alta",'Mapa final'!$AC$15="Moderado"),CONCATENATE("R2C",'Mapa final'!$Q$15),"")</f>
        <v/>
      </c>
      <c r="Z17" s="48" t="str">
        <f ca="1">IF(AND('Mapa final'!$AA$16="Alta",'Mapa final'!$AC$16="Moderado"),CONCATENATE("R2C",'Mapa final'!$Q$16),"")</f>
        <v/>
      </c>
      <c r="AA17" s="49" t="e">
        <f>IF(AND('Mapa final'!#REF!="Alta",'Mapa final'!#REF!="Moderado"),CONCATENATE("R2C",'Mapa final'!#REF!),"")</f>
        <v>#REF!</v>
      </c>
      <c r="AB17" s="47" t="str">
        <f>IF(AND('Mapa final'!$AA$12="Alta",'Mapa final'!$AC$12="Mayor"),CONCATENATE("R2C",'Mapa final'!$Q$12),"")</f>
        <v/>
      </c>
      <c r="AC17" s="48" t="str">
        <f ca="1">IF(AND('Mapa final'!$AA$13="Alta",'Mapa final'!$AC$13="Mayor"),CONCATENATE("R2C",'Mapa final'!$Q$13),"")</f>
        <v/>
      </c>
      <c r="AD17" s="48" t="str">
        <f ca="1">IF(AND('Mapa final'!$AA$14="Alta",'Mapa final'!$AC$14="Mayor"),CONCATENATE("R2C",'Mapa final'!$Q$14),"")</f>
        <v/>
      </c>
      <c r="AE17" s="48" t="str">
        <f ca="1">IF(AND('Mapa final'!$AA$15="Alta",'Mapa final'!$AC$15="Mayor"),CONCATENATE("R2C",'Mapa final'!$Q$15),"")</f>
        <v/>
      </c>
      <c r="AF17" s="48" t="str">
        <f ca="1">IF(AND('Mapa final'!$AA$16="Alta",'Mapa final'!$AC$16="Mayor"),CONCATENATE("R2C",'Mapa final'!$Q$16),"")</f>
        <v/>
      </c>
      <c r="AG17" s="49" t="e">
        <f>IF(AND('Mapa final'!#REF!="Alta",'Mapa final'!#REF!="Mayor"),CONCATENATE("R2C",'Mapa final'!#REF!),"")</f>
        <v>#REF!</v>
      </c>
      <c r="AH17" s="50" t="str">
        <f>IF(AND('Mapa final'!$AA$12="Alta",'Mapa final'!$AC$12="Catastrófico"),CONCATENATE("R2C",'Mapa final'!$Q$12),"")</f>
        <v/>
      </c>
      <c r="AI17" s="51" t="str">
        <f ca="1">IF(AND('Mapa final'!$AA$13="Alta",'Mapa final'!$AC$13="Catastrófico"),CONCATENATE("R2C",'Mapa final'!$Q$13),"")</f>
        <v/>
      </c>
      <c r="AJ17" s="51" t="str">
        <f ca="1">IF(AND('Mapa final'!$AA$14="Alta",'Mapa final'!$AC$14="Catastrófico"),CONCATENATE("R2C",'Mapa final'!$Q$14),"")</f>
        <v/>
      </c>
      <c r="AK17" s="51" t="str">
        <f ca="1">IF(AND('Mapa final'!$AA$15="Alta",'Mapa final'!$AC$15="Catastrófico"),CONCATENATE("R2C",'Mapa final'!$Q$15),"")</f>
        <v/>
      </c>
      <c r="AL17" s="51" t="str">
        <f ca="1">IF(AND('Mapa final'!$AA$16="Alta",'Mapa final'!$AC$16="Catastrófico"),CONCATENATE("R2C",'Mapa final'!$Q$16),"")</f>
        <v/>
      </c>
      <c r="AM17" s="52" t="e">
        <f>IF(AND('Mapa final'!#REF!="Alta",'Mapa final'!#REF!="Catastrófico"),CONCATENATE("R2C",'Mapa final'!#REF!),"")</f>
        <v>#REF!</v>
      </c>
      <c r="AN17" s="78"/>
      <c r="AO17" s="372"/>
      <c r="AP17" s="373"/>
      <c r="AQ17" s="373"/>
      <c r="AR17" s="373"/>
      <c r="AS17" s="373"/>
      <c r="AT17" s="374"/>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row>
    <row r="18" spans="1:76" ht="15" customHeight="1" x14ac:dyDescent="0.35">
      <c r="A18" s="78"/>
      <c r="B18" s="321"/>
      <c r="C18" s="321"/>
      <c r="D18" s="322"/>
      <c r="E18" s="362"/>
      <c r="F18" s="363"/>
      <c r="G18" s="363"/>
      <c r="H18" s="363"/>
      <c r="I18" s="363"/>
      <c r="J18" s="62" t="e">
        <f>IF(AND('Mapa final'!#REF!="Alta",'Mapa final'!#REF!="Leve"),CONCATENATE("R3C",'Mapa final'!#REF!),"")</f>
        <v>#REF!</v>
      </c>
      <c r="K18" s="63" t="e">
        <f>IF(AND('Mapa final'!#REF!="Alta",'Mapa final'!#REF!="Leve"),CONCATENATE("R3C",'Mapa final'!#REF!),"")</f>
        <v>#REF!</v>
      </c>
      <c r="L18" s="63" t="e">
        <f>IF(AND('Mapa final'!#REF!="Alta",'Mapa final'!#REF!="Leve"),CONCATENATE("R3C",'Mapa final'!#REF!),"")</f>
        <v>#REF!</v>
      </c>
      <c r="M18" s="63" t="e">
        <f>IF(AND('Mapa final'!#REF!="Alta",'Mapa final'!#REF!="Leve"),CONCATENATE("R3C",'Mapa final'!#REF!),"")</f>
        <v>#REF!</v>
      </c>
      <c r="N18" s="63" t="str">
        <f ca="1">IF(AND('Mapa final'!$AA$17="Alta",'Mapa final'!$AC$17="Leve"),CONCATENATE("R3C",'Mapa final'!$Q$17),"")</f>
        <v/>
      </c>
      <c r="O18" s="64" t="str">
        <f ca="1">IF(AND('Mapa final'!$AA$18="Alta",'Mapa final'!$AC$18="Leve"),CONCATENATE("R3C",'Mapa final'!$Q$18),"")</f>
        <v/>
      </c>
      <c r="P18" s="62" t="e">
        <f>IF(AND('Mapa final'!#REF!="Alta",'Mapa final'!#REF!="Menor"),CONCATENATE("R3C",'Mapa final'!#REF!),"")</f>
        <v>#REF!</v>
      </c>
      <c r="Q18" s="63" t="e">
        <f>IF(AND('Mapa final'!#REF!="Alta",'Mapa final'!#REF!="Menor"),CONCATENATE("R3C",'Mapa final'!#REF!),"")</f>
        <v>#REF!</v>
      </c>
      <c r="R18" s="63" t="e">
        <f>IF(AND('Mapa final'!#REF!="Alta",'Mapa final'!#REF!="Menor"),CONCATENATE("R3C",'Mapa final'!#REF!),"")</f>
        <v>#REF!</v>
      </c>
      <c r="S18" s="63" t="e">
        <f>IF(AND('Mapa final'!#REF!="Alta",'Mapa final'!#REF!="Menor"),CONCATENATE("R3C",'Mapa final'!#REF!),"")</f>
        <v>#REF!</v>
      </c>
      <c r="T18" s="63" t="str">
        <f ca="1">IF(AND('Mapa final'!$AA$17="Alta",'Mapa final'!$AC$17="Menor"),CONCATENATE("R3C",'Mapa final'!$Q$17),"")</f>
        <v/>
      </c>
      <c r="U18" s="64" t="str">
        <f ca="1">IF(AND('Mapa final'!$AA$18="Alta",'Mapa final'!$AC$18="Menor"),CONCATENATE("R3C",'Mapa final'!$Q$18),"")</f>
        <v/>
      </c>
      <c r="V18" s="47" t="e">
        <f>IF(AND('Mapa final'!#REF!="Alta",'Mapa final'!#REF!="Moderado"),CONCATENATE("R3C",'Mapa final'!#REF!),"")</f>
        <v>#REF!</v>
      </c>
      <c r="W18" s="48" t="e">
        <f>IF(AND('Mapa final'!#REF!="Alta",'Mapa final'!#REF!="Moderado"),CONCATENATE("R3C",'Mapa final'!#REF!),"")</f>
        <v>#REF!</v>
      </c>
      <c r="X18" s="48" t="e">
        <f>IF(AND('Mapa final'!#REF!="Alta",'Mapa final'!#REF!="Moderado"),CONCATENATE("R3C",'Mapa final'!#REF!),"")</f>
        <v>#REF!</v>
      </c>
      <c r="Y18" s="48" t="e">
        <f>IF(AND('Mapa final'!#REF!="Alta",'Mapa final'!#REF!="Moderado"),CONCATENATE("R3C",'Mapa final'!#REF!),"")</f>
        <v>#REF!</v>
      </c>
      <c r="Z18" s="48" t="str">
        <f ca="1">IF(AND('Mapa final'!$AA$17="Alta",'Mapa final'!$AC$17="Moderado"),CONCATENATE("R3C",'Mapa final'!$Q$17),"")</f>
        <v/>
      </c>
      <c r="AA18" s="49" t="str">
        <f ca="1">IF(AND('Mapa final'!$AA$18="Alta",'Mapa final'!$AC$18="Moderado"),CONCATENATE("R3C",'Mapa final'!$Q$18),"")</f>
        <v/>
      </c>
      <c r="AB18" s="47" t="e">
        <f>IF(AND('Mapa final'!#REF!="Alta",'Mapa final'!#REF!="Mayor"),CONCATENATE("R3C",'Mapa final'!#REF!),"")</f>
        <v>#REF!</v>
      </c>
      <c r="AC18" s="48" t="e">
        <f>IF(AND('Mapa final'!#REF!="Alta",'Mapa final'!#REF!="Mayor"),CONCATENATE("R3C",'Mapa final'!#REF!),"")</f>
        <v>#REF!</v>
      </c>
      <c r="AD18" s="48" t="e">
        <f>IF(AND('Mapa final'!#REF!="Alta",'Mapa final'!#REF!="Mayor"),CONCATENATE("R3C",'Mapa final'!#REF!),"")</f>
        <v>#REF!</v>
      </c>
      <c r="AE18" s="48" t="e">
        <f>IF(AND('Mapa final'!#REF!="Alta",'Mapa final'!#REF!="Mayor"),CONCATENATE("R3C",'Mapa final'!#REF!),"")</f>
        <v>#REF!</v>
      </c>
      <c r="AF18" s="48" t="str">
        <f ca="1">IF(AND('Mapa final'!$AA$17="Alta",'Mapa final'!$AC$17="Mayor"),CONCATENATE("R3C",'Mapa final'!$Q$17),"")</f>
        <v/>
      </c>
      <c r="AG18" s="49" t="str">
        <f ca="1">IF(AND('Mapa final'!$AA$18="Alta",'Mapa final'!$AC$18="Mayor"),CONCATENATE("R3C",'Mapa final'!$Q$18),"")</f>
        <v/>
      </c>
      <c r="AH18" s="50" t="e">
        <f>IF(AND('Mapa final'!#REF!="Alta",'Mapa final'!#REF!="Catastrófico"),CONCATENATE("R3C",'Mapa final'!#REF!),"")</f>
        <v>#REF!</v>
      </c>
      <c r="AI18" s="51" t="e">
        <f>IF(AND('Mapa final'!#REF!="Alta",'Mapa final'!#REF!="Catastrófico"),CONCATENATE("R3C",'Mapa final'!#REF!),"")</f>
        <v>#REF!</v>
      </c>
      <c r="AJ18" s="51" t="e">
        <f>IF(AND('Mapa final'!#REF!="Alta",'Mapa final'!#REF!="Catastrófico"),CONCATENATE("R3C",'Mapa final'!#REF!),"")</f>
        <v>#REF!</v>
      </c>
      <c r="AK18" s="51" t="e">
        <f>IF(AND('Mapa final'!#REF!="Alta",'Mapa final'!#REF!="Catastrófico"),CONCATENATE("R3C",'Mapa final'!#REF!),"")</f>
        <v>#REF!</v>
      </c>
      <c r="AL18" s="51" t="str">
        <f ca="1">IF(AND('Mapa final'!$AA$17="Alta",'Mapa final'!$AC$17="Catastrófico"),CONCATENATE("R3C",'Mapa final'!$Q$17),"")</f>
        <v/>
      </c>
      <c r="AM18" s="52" t="str">
        <f ca="1">IF(AND('Mapa final'!$AA$18="Alta",'Mapa final'!$AC$18="Catastrófico"),CONCATENATE("R3C",'Mapa final'!$Q$18),"")</f>
        <v/>
      </c>
      <c r="AN18" s="78"/>
      <c r="AO18" s="372"/>
      <c r="AP18" s="373"/>
      <c r="AQ18" s="373"/>
      <c r="AR18" s="373"/>
      <c r="AS18" s="373"/>
      <c r="AT18" s="374"/>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row>
    <row r="19" spans="1:76" ht="15" customHeight="1" x14ac:dyDescent="0.35">
      <c r="A19" s="78"/>
      <c r="B19" s="321"/>
      <c r="C19" s="321"/>
      <c r="D19" s="322"/>
      <c r="E19" s="362"/>
      <c r="F19" s="363"/>
      <c r="G19" s="363"/>
      <c r="H19" s="363"/>
      <c r="I19" s="363"/>
      <c r="J19" s="62" t="str">
        <f>IF(AND('Mapa final'!$AA$19="Alta",'Mapa final'!$AC$19="Leve"),CONCATENATE("R4C",'Mapa final'!$Q$19),"")</f>
        <v/>
      </c>
      <c r="K19" s="63" t="e">
        <f>IF(AND('Mapa final'!#REF!="Alta",'Mapa final'!#REF!="Leve"),CONCATENATE("R4C",'Mapa final'!#REF!),"")</f>
        <v>#REF!</v>
      </c>
      <c r="L19" s="63" t="str">
        <f ca="1">IF(AND('Mapa final'!$AA$21="Alta",'Mapa final'!$AC$21="Leve"),CONCATENATE("R4C",'Mapa final'!$Q$21),"")</f>
        <v/>
      </c>
      <c r="M19" s="63" t="str">
        <f ca="1">IF(AND('Mapa final'!$AA$22="Alta",'Mapa final'!$AC$22="Leve"),CONCATENATE("R4C",'Mapa final'!$Q$22),"")</f>
        <v/>
      </c>
      <c r="N19" s="63" t="e">
        <f>IF(AND('Mapa final'!#REF!="Alta",'Mapa final'!#REF!="Leve"),CONCATENATE("R4C",'Mapa final'!#REF!),"")</f>
        <v>#REF!</v>
      </c>
      <c r="O19" s="64" t="str">
        <f ca="1">IF(AND('Mapa final'!$AA$23="Alta",'Mapa final'!$AC$23="Leve"),CONCATENATE("R4C",'Mapa final'!$Q$23),"")</f>
        <v/>
      </c>
      <c r="P19" s="62" t="str">
        <f>IF(AND('Mapa final'!$AA$19="Alta",'Mapa final'!$AC$19="Menor"),CONCATENATE("R4C",'Mapa final'!$Q$19),"")</f>
        <v/>
      </c>
      <c r="Q19" s="63" t="e">
        <f>IF(AND('Mapa final'!#REF!="Alta",'Mapa final'!#REF!="Menor"),CONCATENATE("R4C",'Mapa final'!#REF!),"")</f>
        <v>#REF!</v>
      </c>
      <c r="R19" s="63" t="str">
        <f ca="1">IF(AND('Mapa final'!$AA$21="Alta",'Mapa final'!$AC$21="Menor"),CONCATENATE("R4C",'Mapa final'!$Q$21),"")</f>
        <v/>
      </c>
      <c r="S19" s="63" t="str">
        <f ca="1">IF(AND('Mapa final'!$AA$22="Alta",'Mapa final'!$AC$22="Menor"),CONCATENATE("R4C",'Mapa final'!$Q$22),"")</f>
        <v/>
      </c>
      <c r="T19" s="63" t="e">
        <f>IF(AND('Mapa final'!#REF!="Alta",'Mapa final'!#REF!="Menor"),CONCATENATE("R4C",'Mapa final'!#REF!),"")</f>
        <v>#REF!</v>
      </c>
      <c r="U19" s="64" t="str">
        <f ca="1">IF(AND('Mapa final'!$AA$23="Alta",'Mapa final'!$AC$23="Menor"),CONCATENATE("R4C",'Mapa final'!$Q$23),"")</f>
        <v/>
      </c>
      <c r="V19" s="47" t="str">
        <f>IF(AND('Mapa final'!$AA$19="Alta",'Mapa final'!$AC$19="Moderado"),CONCATENATE("R4C",'Mapa final'!$Q$19),"")</f>
        <v/>
      </c>
      <c r="W19" s="48" t="e">
        <f>IF(AND('Mapa final'!#REF!="Alta",'Mapa final'!#REF!="Moderado"),CONCATENATE("R4C",'Mapa final'!#REF!),"")</f>
        <v>#REF!</v>
      </c>
      <c r="X19" s="48" t="str">
        <f ca="1">IF(AND('Mapa final'!$AA$21="Alta",'Mapa final'!$AC$21="Moderado"),CONCATENATE("R4C",'Mapa final'!$Q$21),"")</f>
        <v/>
      </c>
      <c r="Y19" s="48" t="str">
        <f ca="1">IF(AND('Mapa final'!$AA$22="Alta",'Mapa final'!$AC$22="Moderado"),CONCATENATE("R4C",'Mapa final'!$Q$22),"")</f>
        <v/>
      </c>
      <c r="Z19" s="48" t="e">
        <f>IF(AND('Mapa final'!#REF!="Alta",'Mapa final'!#REF!="Moderado"),CONCATENATE("R4C",'Mapa final'!#REF!),"")</f>
        <v>#REF!</v>
      </c>
      <c r="AA19" s="49" t="str">
        <f ca="1">IF(AND('Mapa final'!$AA$23="Alta",'Mapa final'!$AC$23="Moderado"),CONCATENATE("R4C",'Mapa final'!$Q$23),"")</f>
        <v/>
      </c>
      <c r="AB19" s="47" t="str">
        <f>IF(AND('Mapa final'!$AA$19="Alta",'Mapa final'!$AC$19="Mayor"),CONCATENATE("R4C",'Mapa final'!$Q$19),"")</f>
        <v/>
      </c>
      <c r="AC19" s="48" t="e">
        <f>IF(AND('Mapa final'!#REF!="Alta",'Mapa final'!#REF!="Mayor"),CONCATENATE("R4C",'Mapa final'!#REF!),"")</f>
        <v>#REF!</v>
      </c>
      <c r="AD19" s="48" t="str">
        <f ca="1">IF(AND('Mapa final'!$AA$21="Alta",'Mapa final'!$AC$21="Mayor"),CONCATENATE("R4C",'Mapa final'!$Q$21),"")</f>
        <v/>
      </c>
      <c r="AE19" s="48" t="str">
        <f ca="1">IF(AND('Mapa final'!$AA$22="Alta",'Mapa final'!$AC$22="Mayor"),CONCATENATE("R4C",'Mapa final'!$Q$22),"")</f>
        <v/>
      </c>
      <c r="AF19" s="48" t="e">
        <f>IF(AND('Mapa final'!#REF!="Alta",'Mapa final'!#REF!="Mayor"),CONCATENATE("R4C",'Mapa final'!#REF!),"")</f>
        <v>#REF!</v>
      </c>
      <c r="AG19" s="49" t="str">
        <f ca="1">IF(AND('Mapa final'!$AA$23="Alta",'Mapa final'!$AC$23="Mayor"),CONCATENATE("R4C",'Mapa final'!$Q$23),"")</f>
        <v/>
      </c>
      <c r="AH19" s="50" t="str">
        <f>IF(AND('Mapa final'!$AA$19="Alta",'Mapa final'!$AC$19="Catastrófico"),CONCATENATE("R4C",'Mapa final'!$Q$19),"")</f>
        <v/>
      </c>
      <c r="AI19" s="51" t="e">
        <f>IF(AND('Mapa final'!#REF!="Alta",'Mapa final'!#REF!="Catastrófico"),CONCATENATE("R4C",'Mapa final'!#REF!),"")</f>
        <v>#REF!</v>
      </c>
      <c r="AJ19" s="51" t="str">
        <f ca="1">IF(AND('Mapa final'!$AA$21="Alta",'Mapa final'!$AC$21="Catastrófico"),CONCATENATE("R4C",'Mapa final'!$Q$21),"")</f>
        <v/>
      </c>
      <c r="AK19" s="51" t="str">
        <f ca="1">IF(AND('Mapa final'!$AA$22="Alta",'Mapa final'!$AC$22="Catastrófico"),CONCATENATE("R4C",'Mapa final'!$Q$22),"")</f>
        <v/>
      </c>
      <c r="AL19" s="51" t="e">
        <f>IF(AND('Mapa final'!#REF!="Alta",'Mapa final'!#REF!="Catastrófico"),CONCATENATE("R4C",'Mapa final'!#REF!),"")</f>
        <v>#REF!</v>
      </c>
      <c r="AM19" s="52" t="str">
        <f ca="1">IF(AND('Mapa final'!$AA$23="Alta",'Mapa final'!$AC$23="Catastrófico"),CONCATENATE("R4C",'Mapa final'!$Q$23),"")</f>
        <v/>
      </c>
      <c r="AN19" s="78"/>
      <c r="AO19" s="372"/>
      <c r="AP19" s="373"/>
      <c r="AQ19" s="373"/>
      <c r="AR19" s="373"/>
      <c r="AS19" s="373"/>
      <c r="AT19" s="374"/>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row>
    <row r="20" spans="1:76" ht="15" customHeight="1" x14ac:dyDescent="0.35">
      <c r="A20" s="78"/>
      <c r="B20" s="321"/>
      <c r="C20" s="321"/>
      <c r="D20" s="322"/>
      <c r="E20" s="362"/>
      <c r="F20" s="363"/>
      <c r="G20" s="363"/>
      <c r="H20" s="363"/>
      <c r="I20" s="363"/>
      <c r="J20" s="62" t="e">
        <f>IF(AND('Mapa final'!#REF!="Alta",'Mapa final'!#REF!="Leve"),CONCATENATE("R5C",'Mapa final'!#REF!),"")</f>
        <v>#REF!</v>
      </c>
      <c r="K20" s="63" t="str">
        <f ca="1">IF(AND('Mapa final'!$AA$24="Alta",'Mapa final'!$AC$24="Leve"),CONCATENATE("R5C",'Mapa final'!$Q$24),"")</f>
        <v/>
      </c>
      <c r="L20" s="63" t="str">
        <f ca="1">IF(AND('Mapa final'!$AA$25="Alta",'Mapa final'!$AC$25="Leve"),CONCATENATE("R5C",'Mapa final'!$Q$25),"")</f>
        <v/>
      </c>
      <c r="M20" s="63" t="str">
        <f ca="1">IF(AND('Mapa final'!$AA$26="Alta",'Mapa final'!$AC$26="Leve"),CONCATENATE("R5C",'Mapa final'!$Q$26),"")</f>
        <v/>
      </c>
      <c r="N20" s="63" t="str">
        <f ca="1">IF(AND('Mapa final'!$AA$27="Alta",'Mapa final'!$AC$27="Leve"),CONCATENATE("R5C",'Mapa final'!$Q$27),"")</f>
        <v/>
      </c>
      <c r="O20" s="64" t="str">
        <f ca="1">IF(AND('Mapa final'!$AA$28="Alta",'Mapa final'!$AC$28="Leve"),CONCATENATE("R5C",'Mapa final'!$Q$28),"")</f>
        <v/>
      </c>
      <c r="P20" s="62" t="e">
        <f>IF(AND('Mapa final'!#REF!="Alta",'Mapa final'!#REF!="Menor"),CONCATENATE("R5C",'Mapa final'!#REF!),"")</f>
        <v>#REF!</v>
      </c>
      <c r="Q20" s="63" t="str">
        <f ca="1">IF(AND('Mapa final'!$AA$24="Alta",'Mapa final'!$AC$24="Menor"),CONCATENATE("R5C",'Mapa final'!$Q$24),"")</f>
        <v/>
      </c>
      <c r="R20" s="63" t="str">
        <f ca="1">IF(AND('Mapa final'!$AA$25="Alta",'Mapa final'!$AC$25="Menor"),CONCATENATE("R5C",'Mapa final'!$Q$25),"")</f>
        <v/>
      </c>
      <c r="S20" s="63" t="str">
        <f ca="1">IF(AND('Mapa final'!$AA$26="Alta",'Mapa final'!$AC$26="Menor"),CONCATENATE("R5C",'Mapa final'!$Q$26),"")</f>
        <v/>
      </c>
      <c r="T20" s="63" t="str">
        <f ca="1">IF(AND('Mapa final'!$AA$27="Alta",'Mapa final'!$AC$27="Menor"),CONCATENATE("R5C",'Mapa final'!$Q$27),"")</f>
        <v/>
      </c>
      <c r="U20" s="64" t="str">
        <f ca="1">IF(AND('Mapa final'!$AA$28="Alta",'Mapa final'!$AC$28="Menor"),CONCATENATE("R5C",'Mapa final'!$Q$28),"")</f>
        <v/>
      </c>
      <c r="V20" s="47" t="e">
        <f>IF(AND('Mapa final'!#REF!="Alta",'Mapa final'!#REF!="Moderado"),CONCATENATE("R5C",'Mapa final'!#REF!),"")</f>
        <v>#REF!</v>
      </c>
      <c r="W20" s="48" t="str">
        <f ca="1">IF(AND('Mapa final'!$AA$24="Alta",'Mapa final'!$AC$24="Moderado"),CONCATENATE("R5C",'Mapa final'!$Q$24),"")</f>
        <v/>
      </c>
      <c r="X20" s="48" t="str">
        <f ca="1">IF(AND('Mapa final'!$AA$25="Alta",'Mapa final'!$AC$25="Moderado"),CONCATENATE("R5C",'Mapa final'!$Q$25),"")</f>
        <v/>
      </c>
      <c r="Y20" s="48" t="str">
        <f ca="1">IF(AND('Mapa final'!$AA$26="Alta",'Mapa final'!$AC$26="Moderado"),CONCATENATE("R5C",'Mapa final'!$Q$26),"")</f>
        <v/>
      </c>
      <c r="Z20" s="48" t="str">
        <f ca="1">IF(AND('Mapa final'!$AA$27="Alta",'Mapa final'!$AC$27="Moderado"),CONCATENATE("R5C",'Mapa final'!$Q$27),"")</f>
        <v/>
      </c>
      <c r="AA20" s="49" t="str">
        <f ca="1">IF(AND('Mapa final'!$AA$28="Alta",'Mapa final'!$AC$28="Moderado"),CONCATENATE("R5C",'Mapa final'!$Q$28),"")</f>
        <v/>
      </c>
      <c r="AB20" s="47" t="e">
        <f>IF(AND('Mapa final'!#REF!="Alta",'Mapa final'!#REF!="Mayor"),CONCATENATE("R5C",'Mapa final'!#REF!),"")</f>
        <v>#REF!</v>
      </c>
      <c r="AC20" s="48" t="str">
        <f ca="1">IF(AND('Mapa final'!$AA$24="Alta",'Mapa final'!$AC$24="Mayor"),CONCATENATE("R5C",'Mapa final'!$Q$24),"")</f>
        <v/>
      </c>
      <c r="AD20" s="48" t="str">
        <f ca="1">IF(AND('Mapa final'!$AA$25="Alta",'Mapa final'!$AC$25="Mayor"),CONCATENATE("R5C",'Mapa final'!$Q$25),"")</f>
        <v/>
      </c>
      <c r="AE20" s="48" t="str">
        <f ca="1">IF(AND('Mapa final'!$AA$26="Alta",'Mapa final'!$AC$26="Mayor"),CONCATENATE("R5C",'Mapa final'!$Q$26),"")</f>
        <v/>
      </c>
      <c r="AF20" s="48" t="str">
        <f ca="1">IF(AND('Mapa final'!$AA$27="Alta",'Mapa final'!$AC$27="Mayor"),CONCATENATE("R5C",'Mapa final'!$Q$27),"")</f>
        <v/>
      </c>
      <c r="AG20" s="49" t="str">
        <f ca="1">IF(AND('Mapa final'!$AA$28="Alta",'Mapa final'!$AC$28="Mayor"),CONCATENATE("R5C",'Mapa final'!$Q$28),"")</f>
        <v/>
      </c>
      <c r="AH20" s="50" t="e">
        <f>IF(AND('Mapa final'!#REF!="Alta",'Mapa final'!#REF!="Catastrófico"),CONCATENATE("R5C",'Mapa final'!#REF!),"")</f>
        <v>#REF!</v>
      </c>
      <c r="AI20" s="51" t="str">
        <f ca="1">IF(AND('Mapa final'!$AA$24="Alta",'Mapa final'!$AC$24="Catastrófico"),CONCATENATE("R5C",'Mapa final'!$Q$24),"")</f>
        <v/>
      </c>
      <c r="AJ20" s="51" t="str">
        <f ca="1">IF(AND('Mapa final'!$AA$25="Alta",'Mapa final'!$AC$25="Catastrófico"),CONCATENATE("R5C",'Mapa final'!$Q$25),"")</f>
        <v/>
      </c>
      <c r="AK20" s="51" t="str">
        <f ca="1">IF(AND('Mapa final'!$AA$26="Alta",'Mapa final'!$AC$26="Catastrófico"),CONCATENATE("R5C",'Mapa final'!$Q$26),"")</f>
        <v/>
      </c>
      <c r="AL20" s="51" t="str">
        <f ca="1">IF(AND('Mapa final'!$AA$27="Alta",'Mapa final'!$AC$27="Catastrófico"),CONCATENATE("R5C",'Mapa final'!$Q$27),"")</f>
        <v/>
      </c>
      <c r="AM20" s="52" t="str">
        <f ca="1">IF(AND('Mapa final'!$AA$28="Alta",'Mapa final'!$AC$28="Catastrófico"),CONCATENATE("R5C",'Mapa final'!$Q$28),"")</f>
        <v/>
      </c>
      <c r="AN20" s="78"/>
      <c r="AO20" s="372"/>
      <c r="AP20" s="373"/>
      <c r="AQ20" s="373"/>
      <c r="AR20" s="373"/>
      <c r="AS20" s="373"/>
      <c r="AT20" s="374"/>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row>
    <row r="21" spans="1:76" ht="15" customHeight="1" x14ac:dyDescent="0.35">
      <c r="A21" s="78"/>
      <c r="B21" s="321"/>
      <c r="C21" s="321"/>
      <c r="D21" s="322"/>
      <c r="E21" s="362"/>
      <c r="F21" s="363"/>
      <c r="G21" s="363"/>
      <c r="H21" s="363"/>
      <c r="I21" s="363"/>
      <c r="J21" s="62" t="str">
        <f>IF(AND('Mapa final'!$AA$29="Alta",'Mapa final'!$AC$29="Leve"),CONCATENATE("R6C",'Mapa final'!$Q$29),"")</f>
        <v/>
      </c>
      <c r="K21" s="63" t="e">
        <f>IF(AND('Mapa final'!#REF!="Alta",'Mapa final'!#REF!="Leve"),CONCATENATE("R6C",'Mapa final'!#REF!),"")</f>
        <v>#REF!</v>
      </c>
      <c r="L21" s="63" t="e">
        <f>IF(AND('Mapa final'!#REF!="Alta",'Mapa final'!#REF!="Leve"),CONCATENATE("R6C",'Mapa final'!#REF!),"")</f>
        <v>#REF!</v>
      </c>
      <c r="M21" s="63" t="str">
        <f ca="1">IF(AND('Mapa final'!$AA$30="Alta",'Mapa final'!$AC$30="Leve"),CONCATENATE("R6C",'Mapa final'!$Q$30),"")</f>
        <v/>
      </c>
      <c r="N21" s="63" t="str">
        <f ca="1">IF(AND('Mapa final'!$AA$32="Alta",'Mapa final'!$AC$32="Leve"),CONCATENATE("R6C",'Mapa final'!$Q$32),"")</f>
        <v/>
      </c>
      <c r="O21" s="64" t="e">
        <f>IF(AND('Mapa final'!#REF!="Alta",'Mapa final'!#REF!="Leve"),CONCATENATE("R6C",'Mapa final'!#REF!),"")</f>
        <v>#REF!</v>
      </c>
      <c r="P21" s="62" t="str">
        <f>IF(AND('Mapa final'!$AA$29="Alta",'Mapa final'!$AC$29="Menor"),CONCATENATE("R6C",'Mapa final'!$Q$29),"")</f>
        <v/>
      </c>
      <c r="Q21" s="63" t="e">
        <f>IF(AND('Mapa final'!#REF!="Alta",'Mapa final'!#REF!="Menor"),CONCATENATE("R6C",'Mapa final'!#REF!),"")</f>
        <v>#REF!</v>
      </c>
      <c r="R21" s="63" t="e">
        <f>IF(AND('Mapa final'!#REF!="Alta",'Mapa final'!#REF!="Menor"),CONCATENATE("R6C",'Mapa final'!#REF!),"")</f>
        <v>#REF!</v>
      </c>
      <c r="S21" s="63" t="str">
        <f ca="1">IF(AND('Mapa final'!$AA$30="Alta",'Mapa final'!$AC$30="Menor"),CONCATENATE("R6C",'Mapa final'!$Q$30),"")</f>
        <v/>
      </c>
      <c r="T21" s="63" t="str">
        <f ca="1">IF(AND('Mapa final'!$AA$32="Alta",'Mapa final'!$AC$32="Menor"),CONCATENATE("R6C",'Mapa final'!$Q$32),"")</f>
        <v/>
      </c>
      <c r="U21" s="64" t="e">
        <f>IF(AND('Mapa final'!#REF!="Alta",'Mapa final'!#REF!="Menor"),CONCATENATE("R6C",'Mapa final'!#REF!),"")</f>
        <v>#REF!</v>
      </c>
      <c r="V21" s="47" t="str">
        <f>IF(AND('Mapa final'!$AA$29="Alta",'Mapa final'!$AC$29="Moderado"),CONCATENATE("R6C",'Mapa final'!$Q$29),"")</f>
        <v/>
      </c>
      <c r="W21" s="48" t="e">
        <f>IF(AND('Mapa final'!#REF!="Alta",'Mapa final'!#REF!="Moderado"),CONCATENATE("R6C",'Mapa final'!#REF!),"")</f>
        <v>#REF!</v>
      </c>
      <c r="X21" s="48" t="e">
        <f>IF(AND('Mapa final'!#REF!="Alta",'Mapa final'!#REF!="Moderado"),CONCATENATE("R6C",'Mapa final'!#REF!),"")</f>
        <v>#REF!</v>
      </c>
      <c r="Y21" s="48" t="str">
        <f ca="1">IF(AND('Mapa final'!$AA$30="Alta",'Mapa final'!$AC$30="Moderado"),CONCATENATE("R6C",'Mapa final'!$Q$30),"")</f>
        <v/>
      </c>
      <c r="Z21" s="48" t="str">
        <f ca="1">IF(AND('Mapa final'!$AA$32="Alta",'Mapa final'!$AC$32="Moderado"),CONCATENATE("R6C",'Mapa final'!$Q$32),"")</f>
        <v/>
      </c>
      <c r="AA21" s="49" t="e">
        <f>IF(AND('Mapa final'!#REF!="Alta",'Mapa final'!#REF!="Moderado"),CONCATENATE("R6C",'Mapa final'!#REF!),"")</f>
        <v>#REF!</v>
      </c>
      <c r="AB21" s="47" t="str">
        <f>IF(AND('Mapa final'!$AA$29="Alta",'Mapa final'!$AC$29="Mayor"),CONCATENATE("R6C",'Mapa final'!$Q$29),"")</f>
        <v/>
      </c>
      <c r="AC21" s="48" t="e">
        <f>IF(AND('Mapa final'!#REF!="Alta",'Mapa final'!#REF!="Mayor"),CONCATENATE("R6C",'Mapa final'!#REF!),"")</f>
        <v>#REF!</v>
      </c>
      <c r="AD21" s="48" t="e">
        <f>IF(AND('Mapa final'!#REF!="Alta",'Mapa final'!#REF!="Mayor"),CONCATENATE("R6C",'Mapa final'!#REF!),"")</f>
        <v>#REF!</v>
      </c>
      <c r="AE21" s="48" t="str">
        <f ca="1">IF(AND('Mapa final'!$AA$30="Alta",'Mapa final'!$AC$30="Mayor"),CONCATENATE("R6C",'Mapa final'!$Q$30),"")</f>
        <v/>
      </c>
      <c r="AF21" s="48" t="str">
        <f ca="1">IF(AND('Mapa final'!$AA$32="Alta",'Mapa final'!$AC$32="Mayor"),CONCATENATE("R6C",'Mapa final'!$Q$32),"")</f>
        <v/>
      </c>
      <c r="AG21" s="49" t="e">
        <f>IF(AND('Mapa final'!#REF!="Alta",'Mapa final'!#REF!="Mayor"),CONCATENATE("R6C",'Mapa final'!#REF!),"")</f>
        <v>#REF!</v>
      </c>
      <c r="AH21" s="50" t="str">
        <f>IF(AND('Mapa final'!$AA$29="Alta",'Mapa final'!$AC$29="Catastrófico"),CONCATENATE("R6C",'Mapa final'!$Q$29),"")</f>
        <v/>
      </c>
      <c r="AI21" s="51" t="e">
        <f>IF(AND('Mapa final'!#REF!="Alta",'Mapa final'!#REF!="Catastrófico"),CONCATENATE("R6C",'Mapa final'!#REF!),"")</f>
        <v>#REF!</v>
      </c>
      <c r="AJ21" s="51" t="e">
        <f>IF(AND('Mapa final'!#REF!="Alta",'Mapa final'!#REF!="Catastrófico"),CONCATENATE("R6C",'Mapa final'!#REF!),"")</f>
        <v>#REF!</v>
      </c>
      <c r="AK21" s="51" t="str">
        <f ca="1">IF(AND('Mapa final'!$AA$30="Alta",'Mapa final'!$AC$30="Catastrófico"),CONCATENATE("R6C",'Mapa final'!$Q$30),"")</f>
        <v/>
      </c>
      <c r="AL21" s="51" t="str">
        <f ca="1">IF(AND('Mapa final'!$AA$32="Alta",'Mapa final'!$AC$32="Catastrófico"),CONCATENATE("R6C",'Mapa final'!$Q$32),"")</f>
        <v/>
      </c>
      <c r="AM21" s="52" t="e">
        <f>IF(AND('Mapa final'!#REF!="Alta",'Mapa final'!#REF!="Catastrófico"),CONCATENATE("R6C",'Mapa final'!#REF!),"")</f>
        <v>#REF!</v>
      </c>
      <c r="AN21" s="78"/>
      <c r="AO21" s="372"/>
      <c r="AP21" s="373"/>
      <c r="AQ21" s="373"/>
      <c r="AR21" s="373"/>
      <c r="AS21" s="373"/>
      <c r="AT21" s="374"/>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row>
    <row r="22" spans="1:76" ht="15" customHeight="1" x14ac:dyDescent="0.35">
      <c r="A22" s="78"/>
      <c r="B22" s="321"/>
      <c r="C22" s="321"/>
      <c r="D22" s="322"/>
      <c r="E22" s="362"/>
      <c r="F22" s="363"/>
      <c r="G22" s="363"/>
      <c r="H22" s="363"/>
      <c r="I22" s="363"/>
      <c r="J22" s="62" t="e">
        <f>IF(AND('Mapa final'!#REF!="Alta",'Mapa final'!#REF!="Leve"),CONCATENATE("R7C",'Mapa final'!#REF!),"")</f>
        <v>#REF!</v>
      </c>
      <c r="K22" s="63" t="str">
        <f ca="1">IF(AND('Mapa final'!$AA$34="Alta",'Mapa final'!$AC$34="Leve"),CONCATENATE("R7C",'Mapa final'!$Q$34),"")</f>
        <v/>
      </c>
      <c r="L22" s="63" t="str">
        <f ca="1">IF(AND('Mapa final'!$AA$35="Alta",'Mapa final'!$AC$35="Leve"),CONCATENATE("R7C",'Mapa final'!$Q$35),"")</f>
        <v/>
      </c>
      <c r="M22" s="63" t="e">
        <f>IF(AND('Mapa final'!#REF!="Alta",'Mapa final'!#REF!="Leve"),CONCATENATE("R7C",'Mapa final'!#REF!),"")</f>
        <v>#REF!</v>
      </c>
      <c r="N22" s="63" t="e">
        <f>IF(AND('Mapa final'!#REF!="Alta",'Mapa final'!#REF!="Leve"),CONCATENATE("R7C",'Mapa final'!#REF!),"")</f>
        <v>#REF!</v>
      </c>
      <c r="O22" s="64" t="e">
        <f>IF(AND('Mapa final'!#REF!="Alta",'Mapa final'!#REF!="Leve"),CONCATENATE("R7C",'Mapa final'!#REF!),"")</f>
        <v>#REF!</v>
      </c>
      <c r="P22" s="62" t="e">
        <f>IF(AND('Mapa final'!#REF!="Alta",'Mapa final'!#REF!="Menor"),CONCATENATE("R7C",'Mapa final'!#REF!),"")</f>
        <v>#REF!</v>
      </c>
      <c r="Q22" s="63" t="str">
        <f ca="1">IF(AND('Mapa final'!$AA$34="Alta",'Mapa final'!$AC$34="Menor"),CONCATENATE("R7C",'Mapa final'!$Q$34),"")</f>
        <v/>
      </c>
      <c r="R22" s="63" t="str">
        <f ca="1">IF(AND('Mapa final'!$AA$35="Alta",'Mapa final'!$AC$35="Menor"),CONCATENATE("R7C",'Mapa final'!$Q$35),"")</f>
        <v/>
      </c>
      <c r="S22" s="63" t="e">
        <f>IF(AND('Mapa final'!#REF!="Alta",'Mapa final'!#REF!="Menor"),CONCATENATE("R7C",'Mapa final'!#REF!),"")</f>
        <v>#REF!</v>
      </c>
      <c r="T22" s="63" t="e">
        <f>IF(AND('Mapa final'!#REF!="Alta",'Mapa final'!#REF!="Menor"),CONCATENATE("R7C",'Mapa final'!#REF!),"")</f>
        <v>#REF!</v>
      </c>
      <c r="U22" s="64" t="e">
        <f>IF(AND('Mapa final'!#REF!="Alta",'Mapa final'!#REF!="Menor"),CONCATENATE("R7C",'Mapa final'!#REF!),"")</f>
        <v>#REF!</v>
      </c>
      <c r="V22" s="47" t="e">
        <f>IF(AND('Mapa final'!#REF!="Alta",'Mapa final'!#REF!="Moderado"),CONCATENATE("R7C",'Mapa final'!#REF!),"")</f>
        <v>#REF!</v>
      </c>
      <c r="W22" s="48" t="str">
        <f ca="1">IF(AND('Mapa final'!$AA$34="Alta",'Mapa final'!$AC$34="Moderado"),CONCATENATE("R7C",'Mapa final'!$Q$34),"")</f>
        <v/>
      </c>
      <c r="X22" s="48" t="str">
        <f ca="1">IF(AND('Mapa final'!$AA$35="Alta",'Mapa final'!$AC$35="Moderado"),CONCATENATE("R7C",'Mapa final'!$Q$35),"")</f>
        <v/>
      </c>
      <c r="Y22" s="48" t="e">
        <f>IF(AND('Mapa final'!#REF!="Alta",'Mapa final'!#REF!="Moderado"),CONCATENATE("R7C",'Mapa final'!#REF!),"")</f>
        <v>#REF!</v>
      </c>
      <c r="Z22" s="48" t="e">
        <f>IF(AND('Mapa final'!#REF!="Alta",'Mapa final'!#REF!="Moderado"),CONCATENATE("R7C",'Mapa final'!#REF!),"")</f>
        <v>#REF!</v>
      </c>
      <c r="AA22" s="49" t="e">
        <f>IF(AND('Mapa final'!#REF!="Alta",'Mapa final'!#REF!="Moderado"),CONCATENATE("R7C",'Mapa final'!#REF!),"")</f>
        <v>#REF!</v>
      </c>
      <c r="AB22" s="47" t="e">
        <f>IF(AND('Mapa final'!#REF!="Alta",'Mapa final'!#REF!="Mayor"),CONCATENATE("R7C",'Mapa final'!#REF!),"")</f>
        <v>#REF!</v>
      </c>
      <c r="AC22" s="48" t="str">
        <f ca="1">IF(AND('Mapa final'!$AA$34="Alta",'Mapa final'!$AC$34="Mayor"),CONCATENATE("R7C",'Mapa final'!$Q$34),"")</f>
        <v/>
      </c>
      <c r="AD22" s="48" t="str">
        <f ca="1">IF(AND('Mapa final'!$AA$35="Alta",'Mapa final'!$AC$35="Mayor"),CONCATENATE("R7C",'Mapa final'!$Q$35),"")</f>
        <v/>
      </c>
      <c r="AE22" s="48" t="e">
        <f>IF(AND('Mapa final'!#REF!="Alta",'Mapa final'!#REF!="Mayor"),CONCATENATE("R7C",'Mapa final'!#REF!),"")</f>
        <v>#REF!</v>
      </c>
      <c r="AF22" s="48" t="e">
        <f>IF(AND('Mapa final'!#REF!="Alta",'Mapa final'!#REF!="Mayor"),CONCATENATE("R7C",'Mapa final'!#REF!),"")</f>
        <v>#REF!</v>
      </c>
      <c r="AG22" s="49" t="e">
        <f>IF(AND('Mapa final'!#REF!="Alta",'Mapa final'!#REF!="Mayor"),CONCATENATE("R7C",'Mapa final'!#REF!),"")</f>
        <v>#REF!</v>
      </c>
      <c r="AH22" s="50" t="e">
        <f>IF(AND('Mapa final'!#REF!="Alta",'Mapa final'!#REF!="Catastrófico"),CONCATENATE("R7C",'Mapa final'!#REF!),"")</f>
        <v>#REF!</v>
      </c>
      <c r="AI22" s="51" t="str">
        <f ca="1">IF(AND('Mapa final'!$AA$34="Alta",'Mapa final'!$AC$34="Catastrófico"),CONCATENATE("R7C",'Mapa final'!$Q$34),"")</f>
        <v/>
      </c>
      <c r="AJ22" s="51" t="str">
        <f ca="1">IF(AND('Mapa final'!$AA$35="Alta",'Mapa final'!$AC$35="Catastrófico"),CONCATENATE("R7C",'Mapa final'!$Q$35),"")</f>
        <v/>
      </c>
      <c r="AK22" s="51" t="e">
        <f>IF(AND('Mapa final'!#REF!="Alta",'Mapa final'!#REF!="Catastrófico"),CONCATENATE("R7C",'Mapa final'!#REF!),"")</f>
        <v>#REF!</v>
      </c>
      <c r="AL22" s="51" t="e">
        <f>IF(AND('Mapa final'!#REF!="Alta",'Mapa final'!#REF!="Catastrófico"),CONCATENATE("R7C",'Mapa final'!#REF!),"")</f>
        <v>#REF!</v>
      </c>
      <c r="AM22" s="52" t="e">
        <f>IF(AND('Mapa final'!#REF!="Alta",'Mapa final'!#REF!="Catastrófico"),CONCATENATE("R7C",'Mapa final'!#REF!),"")</f>
        <v>#REF!</v>
      </c>
      <c r="AN22" s="78"/>
      <c r="AO22" s="372"/>
      <c r="AP22" s="373"/>
      <c r="AQ22" s="373"/>
      <c r="AR22" s="373"/>
      <c r="AS22" s="373"/>
      <c r="AT22" s="374"/>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row>
    <row r="23" spans="1:76" ht="15" customHeight="1" x14ac:dyDescent="0.35">
      <c r="A23" s="78"/>
      <c r="B23" s="321"/>
      <c r="C23" s="321"/>
      <c r="D23" s="322"/>
      <c r="E23" s="362"/>
      <c r="F23" s="363"/>
      <c r="G23" s="363"/>
      <c r="H23" s="363"/>
      <c r="I23" s="363"/>
      <c r="J23" s="62" t="e">
        <f>IF(AND('Mapa final'!#REF!="Alta",'Mapa final'!#REF!="Leve"),CONCATENATE("R8C",'Mapa final'!#REF!),"")</f>
        <v>#REF!</v>
      </c>
      <c r="K23" s="63" t="e">
        <f>IF(AND('Mapa final'!#REF!="Alta",'Mapa final'!#REF!="Leve"),CONCATENATE("R8C",'Mapa final'!#REF!),"")</f>
        <v>#REF!</v>
      </c>
      <c r="L23" s="63" t="str">
        <f ca="1">IF(AND('Mapa final'!$AA$36="Alta",'Mapa final'!$AC$36="Leve"),CONCATENATE("R8C",'Mapa final'!$Q$36),"")</f>
        <v/>
      </c>
      <c r="M23" s="63" t="str">
        <f ca="1">IF(AND('Mapa final'!$AA$37="Alta",'Mapa final'!$AC$37="Leve"),CONCATENATE("R8C",'Mapa final'!$Q$37),"")</f>
        <v/>
      </c>
      <c r="N23" s="63" t="e">
        <f>IF(AND('Mapa final'!#REF!="Alta",'Mapa final'!#REF!="Leve"),CONCATENATE("R8C",'Mapa final'!#REF!),"")</f>
        <v>#REF!</v>
      </c>
      <c r="O23" s="64" t="e">
        <f>IF(AND('Mapa final'!#REF!="Alta",'Mapa final'!#REF!="Leve"),CONCATENATE("R8C",'Mapa final'!#REF!),"")</f>
        <v>#REF!</v>
      </c>
      <c r="P23" s="62" t="e">
        <f>IF(AND('Mapa final'!#REF!="Alta",'Mapa final'!#REF!="Menor"),CONCATENATE("R8C",'Mapa final'!#REF!),"")</f>
        <v>#REF!</v>
      </c>
      <c r="Q23" s="63" t="e">
        <f>IF(AND('Mapa final'!#REF!="Alta",'Mapa final'!#REF!="Menor"),CONCATENATE("R8C",'Mapa final'!#REF!),"")</f>
        <v>#REF!</v>
      </c>
      <c r="R23" s="63" t="str">
        <f ca="1">IF(AND('Mapa final'!$AA$36="Alta",'Mapa final'!$AC$36="Menor"),CONCATENATE("R8C",'Mapa final'!$Q$36),"")</f>
        <v/>
      </c>
      <c r="S23" s="63" t="str">
        <f ca="1">IF(AND('Mapa final'!$AA$37="Alta",'Mapa final'!$AC$37="Menor"),CONCATENATE("R8C",'Mapa final'!$Q$37),"")</f>
        <v/>
      </c>
      <c r="T23" s="63" t="e">
        <f>IF(AND('Mapa final'!#REF!="Alta",'Mapa final'!#REF!="Menor"),CONCATENATE("R8C",'Mapa final'!#REF!),"")</f>
        <v>#REF!</v>
      </c>
      <c r="U23" s="64" t="e">
        <f>IF(AND('Mapa final'!#REF!="Alta",'Mapa final'!#REF!="Menor"),CONCATENATE("R8C",'Mapa final'!#REF!),"")</f>
        <v>#REF!</v>
      </c>
      <c r="V23" s="47" t="e">
        <f>IF(AND('Mapa final'!#REF!="Alta",'Mapa final'!#REF!="Moderado"),CONCATENATE("R8C",'Mapa final'!#REF!),"")</f>
        <v>#REF!</v>
      </c>
      <c r="W23" s="48" t="e">
        <f>IF(AND('Mapa final'!#REF!="Alta",'Mapa final'!#REF!="Moderado"),CONCATENATE("R8C",'Mapa final'!#REF!),"")</f>
        <v>#REF!</v>
      </c>
      <c r="X23" s="48" t="str">
        <f ca="1">IF(AND('Mapa final'!$AA$36="Alta",'Mapa final'!$AC$36="Moderado"),CONCATENATE("R8C",'Mapa final'!$Q$36),"")</f>
        <v/>
      </c>
      <c r="Y23" s="48" t="str">
        <f ca="1">IF(AND('Mapa final'!$AA$37="Alta",'Mapa final'!$AC$37="Moderado"),CONCATENATE("R8C",'Mapa final'!$Q$37),"")</f>
        <v/>
      </c>
      <c r="Z23" s="48" t="e">
        <f>IF(AND('Mapa final'!#REF!="Alta",'Mapa final'!#REF!="Moderado"),CONCATENATE("R8C",'Mapa final'!#REF!),"")</f>
        <v>#REF!</v>
      </c>
      <c r="AA23" s="49" t="e">
        <f>IF(AND('Mapa final'!#REF!="Alta",'Mapa final'!#REF!="Moderado"),CONCATENATE("R8C",'Mapa final'!#REF!),"")</f>
        <v>#REF!</v>
      </c>
      <c r="AB23" s="47" t="e">
        <f>IF(AND('Mapa final'!#REF!="Alta",'Mapa final'!#REF!="Mayor"),CONCATENATE("R8C",'Mapa final'!#REF!),"")</f>
        <v>#REF!</v>
      </c>
      <c r="AC23" s="48" t="e">
        <f>IF(AND('Mapa final'!#REF!="Alta",'Mapa final'!#REF!="Mayor"),CONCATENATE("R8C",'Mapa final'!#REF!),"")</f>
        <v>#REF!</v>
      </c>
      <c r="AD23" s="48" t="str">
        <f ca="1">IF(AND('Mapa final'!$AA$36="Alta",'Mapa final'!$AC$36="Mayor"),CONCATENATE("R8C",'Mapa final'!$Q$36),"")</f>
        <v/>
      </c>
      <c r="AE23" s="48" t="str">
        <f ca="1">IF(AND('Mapa final'!$AA$37="Alta",'Mapa final'!$AC$37="Mayor"),CONCATENATE("R8C",'Mapa final'!$Q$37),"")</f>
        <v/>
      </c>
      <c r="AF23" s="48" t="e">
        <f>IF(AND('Mapa final'!#REF!="Alta",'Mapa final'!#REF!="Mayor"),CONCATENATE("R8C",'Mapa final'!#REF!),"")</f>
        <v>#REF!</v>
      </c>
      <c r="AG23" s="49" t="e">
        <f>IF(AND('Mapa final'!#REF!="Alta",'Mapa final'!#REF!="Mayor"),CONCATENATE("R8C",'Mapa final'!#REF!),"")</f>
        <v>#REF!</v>
      </c>
      <c r="AH23" s="50" t="e">
        <f>IF(AND('Mapa final'!#REF!="Alta",'Mapa final'!#REF!="Catastrófico"),CONCATENATE("R8C",'Mapa final'!#REF!),"")</f>
        <v>#REF!</v>
      </c>
      <c r="AI23" s="51" t="e">
        <f>IF(AND('Mapa final'!#REF!="Alta",'Mapa final'!#REF!="Catastrófico"),CONCATENATE("R8C",'Mapa final'!#REF!),"")</f>
        <v>#REF!</v>
      </c>
      <c r="AJ23" s="51" t="str">
        <f ca="1">IF(AND('Mapa final'!$AA$36="Alta",'Mapa final'!$AC$36="Catastrófico"),CONCATENATE("R8C",'Mapa final'!$Q$36),"")</f>
        <v/>
      </c>
      <c r="AK23" s="51" t="str">
        <f ca="1">IF(AND('Mapa final'!$AA$37="Alta",'Mapa final'!$AC$37="Catastrófico"),CONCATENATE("R8C",'Mapa final'!$Q$37),"")</f>
        <v/>
      </c>
      <c r="AL23" s="51" t="e">
        <f>IF(AND('Mapa final'!#REF!="Alta",'Mapa final'!#REF!="Catastrófico"),CONCATENATE("R8C",'Mapa final'!#REF!),"")</f>
        <v>#REF!</v>
      </c>
      <c r="AM23" s="52" t="e">
        <f>IF(AND('Mapa final'!#REF!="Alta",'Mapa final'!#REF!="Catastrófico"),CONCATENATE("R8C",'Mapa final'!#REF!),"")</f>
        <v>#REF!</v>
      </c>
      <c r="AN23" s="78"/>
      <c r="AO23" s="372"/>
      <c r="AP23" s="373"/>
      <c r="AQ23" s="373"/>
      <c r="AR23" s="373"/>
      <c r="AS23" s="373"/>
      <c r="AT23" s="374"/>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row>
    <row r="24" spans="1:76" ht="15" customHeight="1" x14ac:dyDescent="0.35">
      <c r="A24" s="78"/>
      <c r="B24" s="321"/>
      <c r="C24" s="321"/>
      <c r="D24" s="322"/>
      <c r="E24" s="362"/>
      <c r="F24" s="363"/>
      <c r="G24" s="363"/>
      <c r="H24" s="363"/>
      <c r="I24" s="363"/>
      <c r="J24" s="62" t="str">
        <f>IF(AND('Mapa final'!$AA$38="Alta",'Mapa final'!$AC$38="Leve"),CONCATENATE("R9C",'Mapa final'!$Q$38),"")</f>
        <v/>
      </c>
      <c r="K24" s="63" t="str">
        <f ca="1">IF(AND('Mapa final'!$AA$39="Alta",'Mapa final'!$AC$39="Leve"),CONCATENATE("R9C",'Mapa final'!$Q$39),"")</f>
        <v/>
      </c>
      <c r="L24" s="63" t="e">
        <f>IF(AND('Mapa final'!#REF!="Alta",'Mapa final'!#REF!="Leve"),CONCATENATE("R9C",'Mapa final'!#REF!),"")</f>
        <v>#REF!</v>
      </c>
      <c r="M24" s="63" t="str">
        <f ca="1">IF(AND('Mapa final'!$AA$40="Alta",'Mapa final'!$AC$40="Leve"),CONCATENATE("R9C",'Mapa final'!$Q$40),"")</f>
        <v/>
      </c>
      <c r="N24" s="63" t="str">
        <f ca="1">IF(AND('Mapa final'!$AA$42="Alta",'Mapa final'!$AC$42="Leve"),CONCATENATE("R9C",'Mapa final'!$Q$42),"")</f>
        <v/>
      </c>
      <c r="O24" s="64" t="str">
        <f ca="1">IF(AND('Mapa final'!$AA$43="Alta",'Mapa final'!$AC$43="Leve"),CONCATENATE("R9C",'Mapa final'!$Q$43),"")</f>
        <v/>
      </c>
      <c r="P24" s="62" t="str">
        <f>IF(AND('Mapa final'!$AA$38="Alta",'Mapa final'!$AC$38="Menor"),CONCATENATE("R9C",'Mapa final'!$Q$38),"")</f>
        <v/>
      </c>
      <c r="Q24" s="63" t="str">
        <f ca="1">IF(AND('Mapa final'!$AA$39="Alta",'Mapa final'!$AC$39="Menor"),CONCATENATE("R9C",'Mapa final'!$Q$39),"")</f>
        <v/>
      </c>
      <c r="R24" s="63" t="e">
        <f>IF(AND('Mapa final'!#REF!="Alta",'Mapa final'!#REF!="Menor"),CONCATENATE("R9C",'Mapa final'!#REF!),"")</f>
        <v>#REF!</v>
      </c>
      <c r="S24" s="63" t="str">
        <f ca="1">IF(AND('Mapa final'!$AA$40="Alta",'Mapa final'!$AC$40="Menor"),CONCATENATE("R9C",'Mapa final'!$Q$40),"")</f>
        <v/>
      </c>
      <c r="T24" s="63" t="str">
        <f ca="1">IF(AND('Mapa final'!$AA$42="Alta",'Mapa final'!$AC$42="Menor"),CONCATENATE("R9C",'Mapa final'!$Q$42),"")</f>
        <v/>
      </c>
      <c r="U24" s="64" t="str">
        <f ca="1">IF(AND('Mapa final'!$AA$43="Alta",'Mapa final'!$AC$43="Menor"),CONCATENATE("R9C",'Mapa final'!$Q$43),"")</f>
        <v/>
      </c>
      <c r="V24" s="47" t="str">
        <f>IF(AND('Mapa final'!$AA$38="Alta",'Mapa final'!$AC$38="Moderado"),CONCATENATE("R9C",'Mapa final'!$Q$38),"")</f>
        <v/>
      </c>
      <c r="W24" s="48" t="str">
        <f ca="1">IF(AND('Mapa final'!$AA$39="Alta",'Mapa final'!$AC$39="Moderado"),CONCATENATE("R9C",'Mapa final'!$Q$39),"")</f>
        <v/>
      </c>
      <c r="X24" s="48" t="e">
        <f>IF(AND('Mapa final'!#REF!="Alta",'Mapa final'!#REF!="Moderado"),CONCATENATE("R9C",'Mapa final'!#REF!),"")</f>
        <v>#REF!</v>
      </c>
      <c r="Y24" s="48" t="str">
        <f ca="1">IF(AND('Mapa final'!$AA$40="Alta",'Mapa final'!$AC$40="Moderado"),CONCATENATE("R9C",'Mapa final'!$Q$40),"")</f>
        <v/>
      </c>
      <c r="Z24" s="48" t="str">
        <f ca="1">IF(AND('Mapa final'!$AA$42="Alta",'Mapa final'!$AC$42="Moderado"),CONCATENATE("R9C",'Mapa final'!$Q$42),"")</f>
        <v/>
      </c>
      <c r="AA24" s="49" t="str">
        <f ca="1">IF(AND('Mapa final'!$AA$43="Alta",'Mapa final'!$AC$43="Moderado"),CONCATENATE("R9C",'Mapa final'!$Q$43),"")</f>
        <v/>
      </c>
      <c r="AB24" s="47" t="str">
        <f>IF(AND('Mapa final'!$AA$38="Alta",'Mapa final'!$AC$38="Mayor"),CONCATENATE("R9C",'Mapa final'!$Q$38),"")</f>
        <v/>
      </c>
      <c r="AC24" s="48" t="str">
        <f ca="1">IF(AND('Mapa final'!$AA$39="Alta",'Mapa final'!$AC$39="Mayor"),CONCATENATE("R9C",'Mapa final'!$Q$39),"")</f>
        <v/>
      </c>
      <c r="AD24" s="48" t="e">
        <f>IF(AND('Mapa final'!#REF!="Alta",'Mapa final'!#REF!="Mayor"),CONCATENATE("R9C",'Mapa final'!#REF!),"")</f>
        <v>#REF!</v>
      </c>
      <c r="AE24" s="48" t="str">
        <f ca="1">IF(AND('Mapa final'!$AA$40="Alta",'Mapa final'!$AC$40="Mayor"),CONCATENATE("R9C",'Mapa final'!$Q$40),"")</f>
        <v/>
      </c>
      <c r="AF24" s="48" t="str">
        <f ca="1">IF(AND('Mapa final'!$AA$42="Alta",'Mapa final'!$AC$42="Mayor"),CONCATENATE("R9C",'Mapa final'!$Q$42),"")</f>
        <v/>
      </c>
      <c r="AG24" s="49" t="str">
        <f ca="1">IF(AND('Mapa final'!$AA$43="Alta",'Mapa final'!$AC$43="Mayor"),CONCATENATE("R9C",'Mapa final'!$Q$43),"")</f>
        <v/>
      </c>
      <c r="AH24" s="50" t="str">
        <f>IF(AND('Mapa final'!$AA$38="Alta",'Mapa final'!$AC$38="Catastrófico"),CONCATENATE("R9C",'Mapa final'!$Q$38),"")</f>
        <v/>
      </c>
      <c r="AI24" s="51" t="str">
        <f ca="1">IF(AND('Mapa final'!$AA$39="Alta",'Mapa final'!$AC$39="Catastrófico"),CONCATENATE("R9C",'Mapa final'!$Q$39),"")</f>
        <v/>
      </c>
      <c r="AJ24" s="51" t="e">
        <f>IF(AND('Mapa final'!#REF!="Alta",'Mapa final'!#REF!="Catastrófico"),CONCATENATE("R9C",'Mapa final'!#REF!),"")</f>
        <v>#REF!</v>
      </c>
      <c r="AK24" s="51" t="str">
        <f ca="1">IF(AND('Mapa final'!$AA$40="Alta",'Mapa final'!$AC$40="Catastrófico"),CONCATENATE("R9C",'Mapa final'!$Q$40),"")</f>
        <v/>
      </c>
      <c r="AL24" s="51" t="str">
        <f ca="1">IF(AND('Mapa final'!$AA$42="Alta",'Mapa final'!$AC$42="Catastrófico"),CONCATENATE("R9C",'Mapa final'!$Q$42),"")</f>
        <v/>
      </c>
      <c r="AM24" s="52" t="str">
        <f ca="1">IF(AND('Mapa final'!$AA$43="Alta",'Mapa final'!$AC$43="Catastrófico"),CONCATENATE("R9C",'Mapa final'!$Q$43),"")</f>
        <v/>
      </c>
      <c r="AN24" s="78"/>
      <c r="AO24" s="372"/>
      <c r="AP24" s="373"/>
      <c r="AQ24" s="373"/>
      <c r="AR24" s="373"/>
      <c r="AS24" s="373"/>
      <c r="AT24" s="374"/>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row>
    <row r="25" spans="1:76" ht="15.75" customHeight="1" thickBot="1" x14ac:dyDescent="0.4">
      <c r="A25" s="78"/>
      <c r="B25" s="321"/>
      <c r="C25" s="321"/>
      <c r="D25" s="322"/>
      <c r="E25" s="365"/>
      <c r="F25" s="366"/>
      <c r="G25" s="366"/>
      <c r="H25" s="366"/>
      <c r="I25" s="366"/>
      <c r="J25" s="65" t="e">
        <f>IF(AND('Mapa final'!#REF!="Alta",'Mapa final'!#REF!="Leve"),CONCATENATE("R10C",'Mapa final'!#REF!),"")</f>
        <v>#REF!</v>
      </c>
      <c r="K25" s="66" t="str">
        <f ca="1">IF(AND('Mapa final'!$AA$44="Alta",'Mapa final'!$AC$44="Leve"),CONCATENATE("R10C",'Mapa final'!$Q$44),"")</f>
        <v/>
      </c>
      <c r="L25" s="66" t="e">
        <f>IF(AND('Mapa final'!#REF!="Alta",'Mapa final'!#REF!="Leve"),CONCATENATE("R10C",'Mapa final'!#REF!),"")</f>
        <v>#REF!</v>
      </c>
      <c r="M25" s="66" t="e">
        <f>IF(AND('Mapa final'!#REF!="Alta",'Mapa final'!#REF!="Leve"),CONCATENATE("R10C",'Mapa final'!#REF!),"")</f>
        <v>#REF!</v>
      </c>
      <c r="N25" s="66" t="e">
        <f>IF(AND('Mapa final'!#REF!="Alta",'Mapa final'!#REF!="Leve"),CONCATENATE("R10C",'Mapa final'!#REF!),"")</f>
        <v>#REF!</v>
      </c>
      <c r="O25" s="67" t="e">
        <f>IF(AND('Mapa final'!#REF!="Alta",'Mapa final'!#REF!="Leve"),CONCATENATE("R10C",'Mapa final'!#REF!),"")</f>
        <v>#REF!</v>
      </c>
      <c r="P25" s="65" t="e">
        <f>IF(AND('Mapa final'!#REF!="Alta",'Mapa final'!#REF!="Menor"),CONCATENATE("R10C",'Mapa final'!#REF!),"")</f>
        <v>#REF!</v>
      </c>
      <c r="Q25" s="66" t="str">
        <f ca="1">IF(AND('Mapa final'!$AA$44="Alta",'Mapa final'!$AC$44="Menor"),CONCATENATE("R10C",'Mapa final'!$Q$44),"")</f>
        <v/>
      </c>
      <c r="R25" s="66" t="e">
        <f>IF(AND('Mapa final'!#REF!="Alta",'Mapa final'!#REF!="Menor"),CONCATENATE("R10C",'Mapa final'!#REF!),"")</f>
        <v>#REF!</v>
      </c>
      <c r="S25" s="66" t="e">
        <f>IF(AND('Mapa final'!#REF!="Alta",'Mapa final'!#REF!="Menor"),CONCATENATE("R10C",'Mapa final'!#REF!),"")</f>
        <v>#REF!</v>
      </c>
      <c r="T25" s="66" t="e">
        <f>IF(AND('Mapa final'!#REF!="Alta",'Mapa final'!#REF!="Menor"),CONCATENATE("R10C",'Mapa final'!#REF!),"")</f>
        <v>#REF!</v>
      </c>
      <c r="U25" s="67" t="e">
        <f>IF(AND('Mapa final'!#REF!="Alta",'Mapa final'!#REF!="Menor"),CONCATENATE("R10C",'Mapa final'!#REF!),"")</f>
        <v>#REF!</v>
      </c>
      <c r="V25" s="53" t="e">
        <f>IF(AND('Mapa final'!#REF!="Alta",'Mapa final'!#REF!="Moderado"),CONCATENATE("R10C",'Mapa final'!#REF!),"")</f>
        <v>#REF!</v>
      </c>
      <c r="W25" s="54" t="str">
        <f ca="1">IF(AND('Mapa final'!$AA$44="Alta",'Mapa final'!$AC$44="Moderado"),CONCATENATE("R10C",'Mapa final'!$Q$44),"")</f>
        <v/>
      </c>
      <c r="X25" s="54" t="e">
        <f>IF(AND('Mapa final'!#REF!="Alta",'Mapa final'!#REF!="Moderado"),CONCATENATE("R10C",'Mapa final'!#REF!),"")</f>
        <v>#REF!</v>
      </c>
      <c r="Y25" s="54" t="e">
        <f>IF(AND('Mapa final'!#REF!="Alta",'Mapa final'!#REF!="Moderado"),CONCATENATE("R10C",'Mapa final'!#REF!),"")</f>
        <v>#REF!</v>
      </c>
      <c r="Z25" s="54" t="e">
        <f>IF(AND('Mapa final'!#REF!="Alta",'Mapa final'!#REF!="Moderado"),CONCATENATE("R10C",'Mapa final'!#REF!),"")</f>
        <v>#REF!</v>
      </c>
      <c r="AA25" s="55" t="e">
        <f>IF(AND('Mapa final'!#REF!="Alta",'Mapa final'!#REF!="Moderado"),CONCATENATE("R10C",'Mapa final'!#REF!),"")</f>
        <v>#REF!</v>
      </c>
      <c r="AB25" s="53" t="e">
        <f>IF(AND('Mapa final'!#REF!="Alta",'Mapa final'!#REF!="Mayor"),CONCATENATE("R10C",'Mapa final'!#REF!),"")</f>
        <v>#REF!</v>
      </c>
      <c r="AC25" s="54" t="str">
        <f ca="1">IF(AND('Mapa final'!$AA$44="Alta",'Mapa final'!$AC$44="Mayor"),CONCATENATE("R10C",'Mapa final'!$Q$44),"")</f>
        <v/>
      </c>
      <c r="AD25" s="54" t="e">
        <f>IF(AND('Mapa final'!#REF!="Alta",'Mapa final'!#REF!="Mayor"),CONCATENATE("R10C",'Mapa final'!#REF!),"")</f>
        <v>#REF!</v>
      </c>
      <c r="AE25" s="54" t="e">
        <f>IF(AND('Mapa final'!#REF!="Alta",'Mapa final'!#REF!="Mayor"),CONCATENATE("R10C",'Mapa final'!#REF!),"")</f>
        <v>#REF!</v>
      </c>
      <c r="AF25" s="54" t="e">
        <f>IF(AND('Mapa final'!#REF!="Alta",'Mapa final'!#REF!="Mayor"),CONCATENATE("R10C",'Mapa final'!#REF!),"")</f>
        <v>#REF!</v>
      </c>
      <c r="AG25" s="55" t="e">
        <f>IF(AND('Mapa final'!#REF!="Alta",'Mapa final'!#REF!="Mayor"),CONCATENATE("R10C",'Mapa final'!#REF!),"")</f>
        <v>#REF!</v>
      </c>
      <c r="AH25" s="56" t="e">
        <f>IF(AND('Mapa final'!#REF!="Alta",'Mapa final'!#REF!="Catastrófico"),CONCATENATE("R10C",'Mapa final'!#REF!),"")</f>
        <v>#REF!</v>
      </c>
      <c r="AI25" s="57" t="str">
        <f ca="1">IF(AND('Mapa final'!$AA$44="Alta",'Mapa final'!$AC$44="Catastrófico"),CONCATENATE("R10C",'Mapa final'!$Q$44),"")</f>
        <v/>
      </c>
      <c r="AJ25" s="57" t="e">
        <f>IF(AND('Mapa final'!#REF!="Alta",'Mapa final'!#REF!="Catastrófico"),CONCATENATE("R10C",'Mapa final'!#REF!),"")</f>
        <v>#REF!</v>
      </c>
      <c r="AK25" s="57" t="e">
        <f>IF(AND('Mapa final'!#REF!="Alta",'Mapa final'!#REF!="Catastrófico"),CONCATENATE("R10C",'Mapa final'!#REF!),"")</f>
        <v>#REF!</v>
      </c>
      <c r="AL25" s="57" t="e">
        <f>IF(AND('Mapa final'!#REF!="Alta",'Mapa final'!#REF!="Catastrófico"),CONCATENATE("R10C",'Mapa final'!#REF!),"")</f>
        <v>#REF!</v>
      </c>
      <c r="AM25" s="58" t="e">
        <f>IF(AND('Mapa final'!#REF!="Alta",'Mapa final'!#REF!="Catastrófico"),CONCATENATE("R10C",'Mapa final'!#REF!),"")</f>
        <v>#REF!</v>
      </c>
      <c r="AN25" s="78"/>
      <c r="AO25" s="375"/>
      <c r="AP25" s="376"/>
      <c r="AQ25" s="376"/>
      <c r="AR25" s="376"/>
      <c r="AS25" s="376"/>
      <c r="AT25" s="377"/>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row>
    <row r="26" spans="1:76" ht="15" customHeight="1" x14ac:dyDescent="0.35">
      <c r="A26" s="78"/>
      <c r="B26" s="321"/>
      <c r="C26" s="321"/>
      <c r="D26" s="322"/>
      <c r="E26" s="359" t="s">
        <v>116</v>
      </c>
      <c r="F26" s="360"/>
      <c r="G26" s="360"/>
      <c r="H26" s="360"/>
      <c r="I26" s="361"/>
      <c r="J26" s="59" t="str">
        <f>IF(AND('Mapa final'!$AA$6="Media",'Mapa final'!$AC$6="Leve"),CONCATENATE("R1C",'Mapa final'!$Q$6),"")</f>
        <v/>
      </c>
      <c r="K26" s="60" t="str">
        <f ca="1">IF(AND('Mapa final'!$AA$7="Media",'Mapa final'!$AC$7="Leve"),CONCATENATE("R1C",'Mapa final'!$Q$7),"")</f>
        <v/>
      </c>
      <c r="L26" s="60" t="str">
        <f ca="1">IF(AND('Mapa final'!$AA$8="Media",'Mapa final'!$AC$8="Leve"),CONCATENATE("R1C",'Mapa final'!$Q$8),"")</f>
        <v/>
      </c>
      <c r="M26" s="60" t="str">
        <f ca="1">IF(AND('Mapa final'!$AA$9="Media",'Mapa final'!$AC$9="Leve"),CONCATENATE("R1C",'Mapa final'!$Q$9),"")</f>
        <v/>
      </c>
      <c r="N26" s="60" t="str">
        <f ca="1">IF(AND('Mapa final'!$AA$10="Media",'Mapa final'!$AC$10="Leve"),CONCATENATE("R1C",'Mapa final'!$Q$10),"")</f>
        <v/>
      </c>
      <c r="O26" s="61" t="str">
        <f ca="1">IF(AND('Mapa final'!$AA$11="Media",'Mapa final'!$AC$11="Leve"),CONCATENATE("R1C",'Mapa final'!$Q$11),"")</f>
        <v/>
      </c>
      <c r="P26" s="59" t="str">
        <f>IF(AND('Mapa final'!$AA$6="Media",'Mapa final'!$AC$6="Menor"),CONCATENATE("R1C",'Mapa final'!$Q$6),"")</f>
        <v/>
      </c>
      <c r="Q26" s="60" t="str">
        <f ca="1">IF(AND('Mapa final'!$AA$7="Media",'Mapa final'!$AC$7="Menor"),CONCATENATE("R1C",'Mapa final'!$Q$7),"")</f>
        <v/>
      </c>
      <c r="R26" s="60" t="str">
        <f ca="1">IF(AND('Mapa final'!$AA$8="Media",'Mapa final'!$AC$8="Menor"),CONCATENATE("R1C",'Mapa final'!$Q$8),"")</f>
        <v/>
      </c>
      <c r="S26" s="60" t="str">
        <f ca="1">IF(AND('Mapa final'!$AA$9="Media",'Mapa final'!$AC$9="Menor"),CONCATENATE("R1C",'Mapa final'!$Q$9),"")</f>
        <v/>
      </c>
      <c r="T26" s="60" t="str">
        <f ca="1">IF(AND('Mapa final'!$AA$10="Media",'Mapa final'!$AC$10="Menor"),CONCATENATE("R1C",'Mapa final'!$Q$10),"")</f>
        <v/>
      </c>
      <c r="U26" s="61" t="str">
        <f ca="1">IF(AND('Mapa final'!$AA$11="Media",'Mapa final'!$AC$11="Menor"),CONCATENATE("R1C",'Mapa final'!$Q$11),"")</f>
        <v/>
      </c>
      <c r="V26" s="59" t="str">
        <f>IF(AND('Mapa final'!$AA$6="Media",'Mapa final'!$AC$6="Moderado"),CONCATENATE("R1C",'Mapa final'!$Q$6),"")</f>
        <v/>
      </c>
      <c r="W26" s="60" t="str">
        <f ca="1">IF(AND('Mapa final'!$AA$7="Media",'Mapa final'!$AC$7="Moderado"),CONCATENATE("R1C",'Mapa final'!$Q$7),"")</f>
        <v/>
      </c>
      <c r="X26" s="60" t="str">
        <f ca="1">IF(AND('Mapa final'!$AA$8="Media",'Mapa final'!$AC$8="Moderado"),CONCATENATE("R1C",'Mapa final'!$Q$8),"")</f>
        <v/>
      </c>
      <c r="Y26" s="60" t="str">
        <f ca="1">IF(AND('Mapa final'!$AA$9="Media",'Mapa final'!$AC$9="Moderado"),CONCATENATE("R1C",'Mapa final'!$Q$9),"")</f>
        <v/>
      </c>
      <c r="Z26" s="60" t="str">
        <f ca="1">IF(AND('Mapa final'!$AA$10="Media",'Mapa final'!$AC$10="Moderado"),CONCATENATE("R1C",'Mapa final'!$Q$10),"")</f>
        <v/>
      </c>
      <c r="AA26" s="61" t="str">
        <f ca="1">IF(AND('Mapa final'!$AA$11="Media",'Mapa final'!$AC$11="Moderado"),CONCATENATE("R1C",'Mapa final'!$Q$11),"")</f>
        <v/>
      </c>
      <c r="AB26" s="41" t="str">
        <f>IF(AND('Mapa final'!$AA$6="Media",'Mapa final'!$AC$6="Mayor"),CONCATENATE("R1C",'Mapa final'!$Q$6),"")</f>
        <v/>
      </c>
      <c r="AC26" s="42" t="str">
        <f ca="1">IF(AND('Mapa final'!$AA$7="Media",'Mapa final'!$AC$7="Mayor"),CONCATENATE("R1C",'Mapa final'!$Q$7),"")</f>
        <v/>
      </c>
      <c r="AD26" s="42" t="str">
        <f ca="1">IF(AND('Mapa final'!$AA$8="Media",'Mapa final'!$AC$8="Mayor"),CONCATENATE("R1C",'Mapa final'!$Q$8),"")</f>
        <v/>
      </c>
      <c r="AE26" s="42" t="str">
        <f ca="1">IF(AND('Mapa final'!$AA$9="Media",'Mapa final'!$AC$9="Mayor"),CONCATENATE("R1C",'Mapa final'!$Q$9),"")</f>
        <v/>
      </c>
      <c r="AF26" s="42" t="str">
        <f ca="1">IF(AND('Mapa final'!$AA$10="Media",'Mapa final'!$AC$10="Mayor"),CONCATENATE("R1C",'Mapa final'!$Q$10),"")</f>
        <v/>
      </c>
      <c r="AG26" s="43" t="str">
        <f ca="1">IF(AND('Mapa final'!$AA$11="Media",'Mapa final'!$AC$11="Mayor"),CONCATENATE("R1C",'Mapa final'!$Q$11),"")</f>
        <v/>
      </c>
      <c r="AH26" s="44" t="str">
        <f>IF(AND('Mapa final'!$AA$6="Media",'Mapa final'!$AC$6="Catastrófico"),CONCATENATE("R1C",'Mapa final'!$Q$6),"")</f>
        <v/>
      </c>
      <c r="AI26" s="45" t="str">
        <f ca="1">IF(AND('Mapa final'!$AA$7="Media",'Mapa final'!$AC$7="Catastrófico"),CONCATENATE("R1C",'Mapa final'!$Q$7),"")</f>
        <v/>
      </c>
      <c r="AJ26" s="45" t="str">
        <f ca="1">IF(AND('Mapa final'!$AA$8="Media",'Mapa final'!$AC$8="Catastrófico"),CONCATENATE("R1C",'Mapa final'!$Q$8),"")</f>
        <v/>
      </c>
      <c r="AK26" s="45" t="str">
        <f ca="1">IF(AND('Mapa final'!$AA$9="Media",'Mapa final'!$AC$9="Catastrófico"),CONCATENATE("R1C",'Mapa final'!$Q$9),"")</f>
        <v/>
      </c>
      <c r="AL26" s="45" t="str">
        <f ca="1">IF(AND('Mapa final'!$AA$10="Media",'Mapa final'!$AC$10="Catastrófico"),CONCATENATE("R1C",'Mapa final'!$Q$10),"")</f>
        <v/>
      </c>
      <c r="AM26" s="46" t="str">
        <f ca="1">IF(AND('Mapa final'!$AA$11="Media",'Mapa final'!$AC$11="Catastrófico"),CONCATENATE("R1C",'Mapa final'!$Q$11),"")</f>
        <v/>
      </c>
      <c r="AN26" s="78"/>
      <c r="AO26" s="399" t="s">
        <v>80</v>
      </c>
      <c r="AP26" s="400"/>
      <c r="AQ26" s="400"/>
      <c r="AR26" s="400"/>
      <c r="AS26" s="400"/>
      <c r="AT26" s="401"/>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row>
    <row r="27" spans="1:76" ht="15" customHeight="1" x14ac:dyDescent="0.35">
      <c r="A27" s="78"/>
      <c r="B27" s="321"/>
      <c r="C27" s="321"/>
      <c r="D27" s="322"/>
      <c r="E27" s="378"/>
      <c r="F27" s="363"/>
      <c r="G27" s="363"/>
      <c r="H27" s="363"/>
      <c r="I27" s="364"/>
      <c r="J27" s="62" t="str">
        <f>IF(AND('Mapa final'!$AA$12="Media",'Mapa final'!$AC$12="Leve"),CONCATENATE("R2C",'Mapa final'!$Q$12),"")</f>
        <v/>
      </c>
      <c r="K27" s="63" t="str">
        <f ca="1">IF(AND('Mapa final'!$AA$13="Media",'Mapa final'!$AC$13="Leve"),CONCATENATE("R2C",'Mapa final'!$Q$13),"")</f>
        <v/>
      </c>
      <c r="L27" s="63" t="str">
        <f ca="1">IF(AND('Mapa final'!$AA$14="Media",'Mapa final'!$AC$14="Leve"),CONCATENATE("R2C",'Mapa final'!$Q$14),"")</f>
        <v/>
      </c>
      <c r="M27" s="63" t="str">
        <f ca="1">IF(AND('Mapa final'!$AA$15="Media",'Mapa final'!$AC$15="Leve"),CONCATENATE("R2C",'Mapa final'!$Q$15),"")</f>
        <v/>
      </c>
      <c r="N27" s="63" t="str">
        <f ca="1">IF(AND('Mapa final'!$AA$16="Media",'Mapa final'!$AC$16="Leve"),CONCATENATE("R2C",'Mapa final'!$Q$16),"")</f>
        <v/>
      </c>
      <c r="O27" s="64" t="e">
        <f>IF(AND('Mapa final'!#REF!="Media",'Mapa final'!#REF!="Leve"),CONCATENATE("R2C",'Mapa final'!#REF!),"")</f>
        <v>#REF!</v>
      </c>
      <c r="P27" s="62" t="str">
        <f>IF(AND('Mapa final'!$AA$12="Media",'Mapa final'!$AC$12="Menor"),CONCATENATE("R2C",'Mapa final'!$Q$12),"")</f>
        <v/>
      </c>
      <c r="Q27" s="63" t="str">
        <f ca="1">IF(AND('Mapa final'!$AA$13="Media",'Mapa final'!$AC$13="Menor"),CONCATENATE("R2C",'Mapa final'!$Q$13),"")</f>
        <v/>
      </c>
      <c r="R27" s="63" t="str">
        <f ca="1">IF(AND('Mapa final'!$AA$14="Media",'Mapa final'!$AC$14="Menor"),CONCATENATE("R2C",'Mapa final'!$Q$14),"")</f>
        <v/>
      </c>
      <c r="S27" s="63" t="str">
        <f ca="1">IF(AND('Mapa final'!$AA$15="Media",'Mapa final'!$AC$15="Menor"),CONCATENATE("R2C",'Mapa final'!$Q$15),"")</f>
        <v/>
      </c>
      <c r="T27" s="63" t="str">
        <f ca="1">IF(AND('Mapa final'!$AA$16="Media",'Mapa final'!$AC$16="Menor"),CONCATENATE("R2C",'Mapa final'!$Q$16),"")</f>
        <v/>
      </c>
      <c r="U27" s="64" t="e">
        <f>IF(AND('Mapa final'!#REF!="Media",'Mapa final'!#REF!="Menor"),CONCATENATE("R2C",'Mapa final'!#REF!),"")</f>
        <v>#REF!</v>
      </c>
      <c r="V27" s="62" t="str">
        <f>IF(AND('Mapa final'!$AA$12="Media",'Mapa final'!$AC$12="Moderado"),CONCATENATE("R2C",'Mapa final'!$Q$12),"")</f>
        <v/>
      </c>
      <c r="W27" s="63" t="str">
        <f ca="1">IF(AND('Mapa final'!$AA$13="Media",'Mapa final'!$AC$13="Moderado"),CONCATENATE("R2C",'Mapa final'!$Q$13),"")</f>
        <v/>
      </c>
      <c r="X27" s="63" t="str">
        <f ca="1">IF(AND('Mapa final'!$AA$14="Media",'Mapa final'!$AC$14="Moderado"),CONCATENATE("R2C",'Mapa final'!$Q$14),"")</f>
        <v/>
      </c>
      <c r="Y27" s="63" t="str">
        <f ca="1">IF(AND('Mapa final'!$AA$15="Media",'Mapa final'!$AC$15="Moderado"),CONCATENATE("R2C",'Mapa final'!$Q$15),"")</f>
        <v/>
      </c>
      <c r="Z27" s="63" t="str">
        <f ca="1">IF(AND('Mapa final'!$AA$16="Media",'Mapa final'!$AC$16="Moderado"),CONCATENATE("R2C",'Mapa final'!$Q$16),"")</f>
        <v/>
      </c>
      <c r="AA27" s="64" t="e">
        <f>IF(AND('Mapa final'!#REF!="Media",'Mapa final'!#REF!="Moderado"),CONCATENATE("R2C",'Mapa final'!#REF!),"")</f>
        <v>#REF!</v>
      </c>
      <c r="AB27" s="47" t="str">
        <f>IF(AND('Mapa final'!$AA$12="Media",'Mapa final'!$AC$12="Mayor"),CONCATENATE("R2C",'Mapa final'!$Q$12),"")</f>
        <v/>
      </c>
      <c r="AC27" s="48" t="str">
        <f ca="1">IF(AND('Mapa final'!$AA$13="Media",'Mapa final'!$AC$13="Mayor"),CONCATENATE("R2C",'Mapa final'!$Q$13),"")</f>
        <v/>
      </c>
      <c r="AD27" s="48" t="str">
        <f ca="1">IF(AND('Mapa final'!$AA$14="Media",'Mapa final'!$AC$14="Mayor"),CONCATENATE("R2C",'Mapa final'!$Q$14),"")</f>
        <v/>
      </c>
      <c r="AE27" s="48" t="str">
        <f ca="1">IF(AND('Mapa final'!$AA$15="Media",'Mapa final'!$AC$15="Mayor"),CONCATENATE("R2C",'Mapa final'!$Q$15),"")</f>
        <v/>
      </c>
      <c r="AF27" s="48" t="str">
        <f ca="1">IF(AND('Mapa final'!$AA$16="Media",'Mapa final'!$AC$16="Mayor"),CONCATENATE("R2C",'Mapa final'!$Q$16),"")</f>
        <v/>
      </c>
      <c r="AG27" s="49" t="e">
        <f>IF(AND('Mapa final'!#REF!="Media",'Mapa final'!#REF!="Mayor"),CONCATENATE("R2C",'Mapa final'!#REF!),"")</f>
        <v>#REF!</v>
      </c>
      <c r="AH27" s="50" t="str">
        <f>IF(AND('Mapa final'!$AA$12="Media",'Mapa final'!$AC$12="Catastrófico"),CONCATENATE("R2C",'Mapa final'!$Q$12),"")</f>
        <v/>
      </c>
      <c r="AI27" s="51" t="str">
        <f ca="1">IF(AND('Mapa final'!$AA$13="Media",'Mapa final'!$AC$13="Catastrófico"),CONCATENATE("R2C",'Mapa final'!$Q$13),"")</f>
        <v/>
      </c>
      <c r="AJ27" s="51" t="str">
        <f ca="1">IF(AND('Mapa final'!$AA$14="Media",'Mapa final'!$AC$14="Catastrófico"),CONCATENATE("R2C",'Mapa final'!$Q$14),"")</f>
        <v/>
      </c>
      <c r="AK27" s="51" t="str">
        <f ca="1">IF(AND('Mapa final'!$AA$15="Media",'Mapa final'!$AC$15="Catastrófico"),CONCATENATE("R2C",'Mapa final'!$Q$15),"")</f>
        <v/>
      </c>
      <c r="AL27" s="51" t="str">
        <f ca="1">IF(AND('Mapa final'!$AA$16="Media",'Mapa final'!$AC$16="Catastrófico"),CONCATENATE("R2C",'Mapa final'!$Q$16),"")</f>
        <v/>
      </c>
      <c r="AM27" s="52" t="e">
        <f>IF(AND('Mapa final'!#REF!="Media",'Mapa final'!#REF!="Catastrófico"),CONCATENATE("R2C",'Mapa final'!#REF!),"")</f>
        <v>#REF!</v>
      </c>
      <c r="AN27" s="78"/>
      <c r="AO27" s="402"/>
      <c r="AP27" s="403"/>
      <c r="AQ27" s="403"/>
      <c r="AR27" s="403"/>
      <c r="AS27" s="403"/>
      <c r="AT27" s="404"/>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row>
    <row r="28" spans="1:76" ht="15" customHeight="1" x14ac:dyDescent="0.35">
      <c r="A28" s="78"/>
      <c r="B28" s="321"/>
      <c r="C28" s="321"/>
      <c r="D28" s="322"/>
      <c r="E28" s="362"/>
      <c r="F28" s="363"/>
      <c r="G28" s="363"/>
      <c r="H28" s="363"/>
      <c r="I28" s="364"/>
      <c r="J28" s="62" t="e">
        <f>IF(AND('Mapa final'!#REF!="Media",'Mapa final'!#REF!="Leve"),CONCATENATE("R3C",'Mapa final'!#REF!),"")</f>
        <v>#REF!</v>
      </c>
      <c r="K28" s="63" t="e">
        <f>IF(AND('Mapa final'!#REF!="Media",'Mapa final'!#REF!="Leve"),CONCATENATE("R3C",'Mapa final'!#REF!),"")</f>
        <v>#REF!</v>
      </c>
      <c r="L28" s="63" t="e">
        <f>IF(AND('Mapa final'!#REF!="Media",'Mapa final'!#REF!="Leve"),CONCATENATE("R3C",'Mapa final'!#REF!),"")</f>
        <v>#REF!</v>
      </c>
      <c r="M28" s="63" t="e">
        <f>IF(AND('Mapa final'!#REF!="Media",'Mapa final'!#REF!="Leve"),CONCATENATE("R3C",'Mapa final'!#REF!),"")</f>
        <v>#REF!</v>
      </c>
      <c r="N28" s="63" t="str">
        <f ca="1">IF(AND('Mapa final'!$AA$17="Media",'Mapa final'!$AC$17="Leve"),CONCATENATE("R3C",'Mapa final'!$Q$17),"")</f>
        <v/>
      </c>
      <c r="O28" s="64" t="str">
        <f ca="1">IF(AND('Mapa final'!$AA$18="Media",'Mapa final'!$AC$18="Leve"),CONCATENATE("R3C",'Mapa final'!$Q$18),"")</f>
        <v/>
      </c>
      <c r="P28" s="62" t="e">
        <f>IF(AND('Mapa final'!#REF!="Media",'Mapa final'!#REF!="Menor"),CONCATENATE("R3C",'Mapa final'!#REF!),"")</f>
        <v>#REF!</v>
      </c>
      <c r="Q28" s="63" t="e">
        <f>IF(AND('Mapa final'!#REF!="Media",'Mapa final'!#REF!="Menor"),CONCATENATE("R3C",'Mapa final'!#REF!),"")</f>
        <v>#REF!</v>
      </c>
      <c r="R28" s="63" t="e">
        <f>IF(AND('Mapa final'!#REF!="Media",'Mapa final'!#REF!="Menor"),CONCATENATE("R3C",'Mapa final'!#REF!),"")</f>
        <v>#REF!</v>
      </c>
      <c r="S28" s="63" t="e">
        <f>IF(AND('Mapa final'!#REF!="Media",'Mapa final'!#REF!="Menor"),CONCATENATE("R3C",'Mapa final'!#REF!),"")</f>
        <v>#REF!</v>
      </c>
      <c r="T28" s="63" t="str">
        <f ca="1">IF(AND('Mapa final'!$AA$17="Media",'Mapa final'!$AC$17="Menor"),CONCATENATE("R3C",'Mapa final'!$Q$17),"")</f>
        <v/>
      </c>
      <c r="U28" s="64" t="str">
        <f ca="1">IF(AND('Mapa final'!$AA$18="Media",'Mapa final'!$AC$18="Menor"),CONCATENATE("R3C",'Mapa final'!$Q$18),"")</f>
        <v/>
      </c>
      <c r="V28" s="62" t="e">
        <f>IF(AND('Mapa final'!#REF!="Media",'Mapa final'!#REF!="Moderado"),CONCATENATE("R3C",'Mapa final'!#REF!),"")</f>
        <v>#REF!</v>
      </c>
      <c r="W28" s="63" t="e">
        <f>IF(AND('Mapa final'!#REF!="Media",'Mapa final'!#REF!="Moderado"),CONCATENATE("R3C",'Mapa final'!#REF!),"")</f>
        <v>#REF!</v>
      </c>
      <c r="X28" s="63" t="e">
        <f>IF(AND('Mapa final'!#REF!="Media",'Mapa final'!#REF!="Moderado"),CONCATENATE("R3C",'Mapa final'!#REF!),"")</f>
        <v>#REF!</v>
      </c>
      <c r="Y28" s="63" t="e">
        <f>IF(AND('Mapa final'!#REF!="Media",'Mapa final'!#REF!="Moderado"),CONCATENATE("R3C",'Mapa final'!#REF!),"")</f>
        <v>#REF!</v>
      </c>
      <c r="Z28" s="63" t="str">
        <f ca="1">IF(AND('Mapa final'!$AA$17="Media",'Mapa final'!$AC$17="Moderado"),CONCATENATE("R3C",'Mapa final'!$Q$17),"")</f>
        <v/>
      </c>
      <c r="AA28" s="64" t="str">
        <f ca="1">IF(AND('Mapa final'!$AA$18="Media",'Mapa final'!$AC$18="Moderado"),CONCATENATE("R3C",'Mapa final'!$Q$18),"")</f>
        <v/>
      </c>
      <c r="AB28" s="47" t="e">
        <f>IF(AND('Mapa final'!#REF!="Media",'Mapa final'!#REF!="Mayor"),CONCATENATE("R3C",'Mapa final'!#REF!),"")</f>
        <v>#REF!</v>
      </c>
      <c r="AC28" s="48" t="e">
        <f>IF(AND('Mapa final'!#REF!="Media",'Mapa final'!#REF!="Mayor"),CONCATENATE("R3C",'Mapa final'!#REF!),"")</f>
        <v>#REF!</v>
      </c>
      <c r="AD28" s="48" t="e">
        <f>IF(AND('Mapa final'!#REF!="Media",'Mapa final'!#REF!="Mayor"),CONCATENATE("R3C",'Mapa final'!#REF!),"")</f>
        <v>#REF!</v>
      </c>
      <c r="AE28" s="48" t="e">
        <f>IF(AND('Mapa final'!#REF!="Media",'Mapa final'!#REF!="Mayor"),CONCATENATE("R3C",'Mapa final'!#REF!),"")</f>
        <v>#REF!</v>
      </c>
      <c r="AF28" s="48" t="str">
        <f ca="1">IF(AND('Mapa final'!$AA$17="Media",'Mapa final'!$AC$17="Mayor"),CONCATENATE("R3C",'Mapa final'!$Q$17),"")</f>
        <v/>
      </c>
      <c r="AG28" s="49" t="str">
        <f ca="1">IF(AND('Mapa final'!$AA$18="Media",'Mapa final'!$AC$18="Mayor"),CONCATENATE("R3C",'Mapa final'!$Q$18),"")</f>
        <v/>
      </c>
      <c r="AH28" s="50" t="e">
        <f>IF(AND('Mapa final'!#REF!="Media",'Mapa final'!#REF!="Catastrófico"),CONCATENATE("R3C",'Mapa final'!#REF!),"")</f>
        <v>#REF!</v>
      </c>
      <c r="AI28" s="51" t="e">
        <f>IF(AND('Mapa final'!#REF!="Media",'Mapa final'!#REF!="Catastrófico"),CONCATENATE("R3C",'Mapa final'!#REF!),"")</f>
        <v>#REF!</v>
      </c>
      <c r="AJ28" s="51" t="e">
        <f>IF(AND('Mapa final'!#REF!="Media",'Mapa final'!#REF!="Catastrófico"),CONCATENATE("R3C",'Mapa final'!#REF!),"")</f>
        <v>#REF!</v>
      </c>
      <c r="AK28" s="51" t="e">
        <f>IF(AND('Mapa final'!#REF!="Media",'Mapa final'!#REF!="Catastrófico"),CONCATENATE("R3C",'Mapa final'!#REF!),"")</f>
        <v>#REF!</v>
      </c>
      <c r="AL28" s="51" t="str">
        <f ca="1">IF(AND('Mapa final'!$AA$17="Media",'Mapa final'!$AC$17="Catastrófico"),CONCATENATE("R3C",'Mapa final'!$Q$17),"")</f>
        <v/>
      </c>
      <c r="AM28" s="52" t="str">
        <f ca="1">IF(AND('Mapa final'!$AA$18="Media",'Mapa final'!$AC$18="Catastrófico"),CONCATENATE("R3C",'Mapa final'!$Q$18),"")</f>
        <v/>
      </c>
      <c r="AN28" s="78"/>
      <c r="AO28" s="402"/>
      <c r="AP28" s="403"/>
      <c r="AQ28" s="403"/>
      <c r="AR28" s="403"/>
      <c r="AS28" s="403"/>
      <c r="AT28" s="404"/>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row>
    <row r="29" spans="1:76" ht="15" customHeight="1" x14ac:dyDescent="0.35">
      <c r="A29" s="78"/>
      <c r="B29" s="321"/>
      <c r="C29" s="321"/>
      <c r="D29" s="322"/>
      <c r="E29" s="362"/>
      <c r="F29" s="363"/>
      <c r="G29" s="363"/>
      <c r="H29" s="363"/>
      <c r="I29" s="364"/>
      <c r="J29" s="62" t="str">
        <f>IF(AND('Mapa final'!$AA$19="Media",'Mapa final'!$AC$19="Leve"),CONCATENATE("R4C",'Mapa final'!$Q$19),"")</f>
        <v/>
      </c>
      <c r="K29" s="63" t="e">
        <f>IF(AND('Mapa final'!#REF!="Media",'Mapa final'!#REF!="Leve"),CONCATENATE("R4C",'Mapa final'!#REF!),"")</f>
        <v>#REF!</v>
      </c>
      <c r="L29" s="63" t="str">
        <f ca="1">IF(AND('Mapa final'!$AA$21="Media",'Mapa final'!$AC$21="Leve"),CONCATENATE("R4C",'Mapa final'!$Q$21),"")</f>
        <v/>
      </c>
      <c r="M29" s="63" t="str">
        <f ca="1">IF(AND('Mapa final'!$AA$22="Media",'Mapa final'!$AC$22="Leve"),CONCATENATE("R4C",'Mapa final'!$Q$22),"")</f>
        <v/>
      </c>
      <c r="N29" s="63" t="e">
        <f>IF(AND('Mapa final'!#REF!="Media",'Mapa final'!#REF!="Leve"),CONCATENATE("R4C",'Mapa final'!#REF!),"")</f>
        <v>#REF!</v>
      </c>
      <c r="O29" s="64" t="str">
        <f ca="1">IF(AND('Mapa final'!$AA$23="Media",'Mapa final'!$AC$23="Leve"),CONCATENATE("R4C",'Mapa final'!$Q$23),"")</f>
        <v/>
      </c>
      <c r="P29" s="62" t="str">
        <f>IF(AND('Mapa final'!$AA$19="Media",'Mapa final'!$AC$19="Menor"),CONCATENATE("R4C",'Mapa final'!$Q$19),"")</f>
        <v/>
      </c>
      <c r="Q29" s="63" t="e">
        <f>IF(AND('Mapa final'!#REF!="Media",'Mapa final'!#REF!="Menor"),CONCATENATE("R4C",'Mapa final'!#REF!),"")</f>
        <v>#REF!</v>
      </c>
      <c r="R29" s="63" t="str">
        <f ca="1">IF(AND('Mapa final'!$AA$21="Media",'Mapa final'!$AC$21="Menor"),CONCATENATE("R4C",'Mapa final'!$Q$21),"")</f>
        <v/>
      </c>
      <c r="S29" s="63" t="str">
        <f ca="1">IF(AND('Mapa final'!$AA$22="Media",'Mapa final'!$AC$22="Menor"),CONCATENATE("R4C",'Mapa final'!$Q$22),"")</f>
        <v/>
      </c>
      <c r="T29" s="63" t="e">
        <f>IF(AND('Mapa final'!#REF!="Media",'Mapa final'!#REF!="Menor"),CONCATENATE("R4C",'Mapa final'!#REF!),"")</f>
        <v>#REF!</v>
      </c>
      <c r="U29" s="64" t="str">
        <f ca="1">IF(AND('Mapa final'!$AA$23="Media",'Mapa final'!$AC$23="Menor"),CONCATENATE("R4C",'Mapa final'!$Q$23),"")</f>
        <v/>
      </c>
      <c r="V29" s="62" t="str">
        <f>IF(AND('Mapa final'!$AA$19="Media",'Mapa final'!$AC$19="Moderado"),CONCATENATE("R4C",'Mapa final'!$Q$19),"")</f>
        <v/>
      </c>
      <c r="W29" s="63" t="e">
        <f>IF(AND('Mapa final'!#REF!="Media",'Mapa final'!#REF!="Moderado"),CONCATENATE("R4C",'Mapa final'!#REF!),"")</f>
        <v>#REF!</v>
      </c>
      <c r="X29" s="63" t="str">
        <f ca="1">IF(AND('Mapa final'!$AA$21="Media",'Mapa final'!$AC$21="Moderado"),CONCATENATE("R4C",'Mapa final'!$Q$21),"")</f>
        <v>R4C1</v>
      </c>
      <c r="Y29" s="63" t="str">
        <f ca="1">IF(AND('Mapa final'!$AA$22="Media",'Mapa final'!$AC$22="Moderado"),CONCATENATE("R4C",'Mapa final'!$Q$22),"")</f>
        <v/>
      </c>
      <c r="Z29" s="63" t="e">
        <f>IF(AND('Mapa final'!#REF!="Media",'Mapa final'!#REF!="Moderado"),CONCATENATE("R4C",'Mapa final'!#REF!),"")</f>
        <v>#REF!</v>
      </c>
      <c r="AA29" s="64" t="str">
        <f ca="1">IF(AND('Mapa final'!$AA$23="Media",'Mapa final'!$AC$23="Moderado"),CONCATENATE("R4C",'Mapa final'!$Q$23),"")</f>
        <v/>
      </c>
      <c r="AB29" s="47" t="str">
        <f>IF(AND('Mapa final'!$AA$19="Media",'Mapa final'!$AC$19="Mayor"),CONCATENATE("R4C",'Mapa final'!$Q$19),"")</f>
        <v>R4C2</v>
      </c>
      <c r="AC29" s="48" t="e">
        <f>IF(AND('Mapa final'!#REF!="Media",'Mapa final'!#REF!="Mayor"),CONCATENATE("R4C",'Mapa final'!#REF!),"")</f>
        <v>#REF!</v>
      </c>
      <c r="AD29" s="48" t="str">
        <f ca="1">IF(AND('Mapa final'!$AA$21="Media",'Mapa final'!$AC$21="Mayor"),CONCATENATE("R4C",'Mapa final'!$Q$21),"")</f>
        <v/>
      </c>
      <c r="AE29" s="48" t="str">
        <f ca="1">IF(AND('Mapa final'!$AA$22="Media",'Mapa final'!$AC$22="Mayor"),CONCATENATE("R4C",'Mapa final'!$Q$22),"")</f>
        <v/>
      </c>
      <c r="AF29" s="48" t="e">
        <f>IF(AND('Mapa final'!#REF!="Media",'Mapa final'!#REF!="Mayor"),CONCATENATE("R4C",'Mapa final'!#REF!),"")</f>
        <v>#REF!</v>
      </c>
      <c r="AG29" s="49" t="str">
        <f ca="1">IF(AND('Mapa final'!$AA$23="Media",'Mapa final'!$AC$23="Mayor"),CONCATENATE("R4C",'Mapa final'!$Q$23),"")</f>
        <v/>
      </c>
      <c r="AH29" s="50" t="str">
        <f>IF(AND('Mapa final'!$AA$19="Media",'Mapa final'!$AC$19="Catastrófico"),CONCATENATE("R4C",'Mapa final'!$Q$19),"")</f>
        <v/>
      </c>
      <c r="AI29" s="51" t="e">
        <f>IF(AND('Mapa final'!#REF!="Media",'Mapa final'!#REF!="Catastrófico"),CONCATENATE("R4C",'Mapa final'!#REF!),"")</f>
        <v>#REF!</v>
      </c>
      <c r="AJ29" s="51" t="str">
        <f ca="1">IF(AND('Mapa final'!$AA$21="Media",'Mapa final'!$AC$21="Catastrófico"),CONCATENATE("R4C",'Mapa final'!$Q$21),"")</f>
        <v/>
      </c>
      <c r="AK29" s="51" t="str">
        <f ca="1">IF(AND('Mapa final'!$AA$22="Media",'Mapa final'!$AC$22="Catastrófico"),CONCATENATE("R4C",'Mapa final'!$Q$22),"")</f>
        <v/>
      </c>
      <c r="AL29" s="51" t="e">
        <f>IF(AND('Mapa final'!#REF!="Media",'Mapa final'!#REF!="Catastrófico"),CONCATENATE("R4C",'Mapa final'!#REF!),"")</f>
        <v>#REF!</v>
      </c>
      <c r="AM29" s="52" t="str">
        <f ca="1">IF(AND('Mapa final'!$AA$23="Media",'Mapa final'!$AC$23="Catastrófico"),CONCATENATE("R4C",'Mapa final'!$Q$23),"")</f>
        <v/>
      </c>
      <c r="AN29" s="78"/>
      <c r="AO29" s="402"/>
      <c r="AP29" s="403"/>
      <c r="AQ29" s="403"/>
      <c r="AR29" s="403"/>
      <c r="AS29" s="403"/>
      <c r="AT29" s="404"/>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row>
    <row r="30" spans="1:76" ht="15" customHeight="1" x14ac:dyDescent="0.35">
      <c r="A30" s="78"/>
      <c r="B30" s="321"/>
      <c r="C30" s="321"/>
      <c r="D30" s="322"/>
      <c r="E30" s="362"/>
      <c r="F30" s="363"/>
      <c r="G30" s="363"/>
      <c r="H30" s="363"/>
      <c r="I30" s="364"/>
      <c r="J30" s="62" t="e">
        <f>IF(AND('Mapa final'!#REF!="Media",'Mapa final'!#REF!="Leve"),CONCATENATE("R5C",'Mapa final'!#REF!),"")</f>
        <v>#REF!</v>
      </c>
      <c r="K30" s="63" t="str">
        <f ca="1">IF(AND('Mapa final'!$AA$24="Media",'Mapa final'!$AC$24="Leve"),CONCATENATE("R5C",'Mapa final'!$Q$24),"")</f>
        <v/>
      </c>
      <c r="L30" s="63" t="str">
        <f ca="1">IF(AND('Mapa final'!$AA$25="Media",'Mapa final'!$AC$25="Leve"),CONCATENATE("R5C",'Mapa final'!$Q$25),"")</f>
        <v/>
      </c>
      <c r="M30" s="63" t="str">
        <f ca="1">IF(AND('Mapa final'!$AA$26="Media",'Mapa final'!$AC$26="Leve"),CONCATENATE("R5C",'Mapa final'!$Q$26),"")</f>
        <v/>
      </c>
      <c r="N30" s="63" t="str">
        <f ca="1">IF(AND('Mapa final'!$AA$27="Media",'Mapa final'!$AC$27="Leve"),CONCATENATE("R5C",'Mapa final'!$Q$27),"")</f>
        <v/>
      </c>
      <c r="O30" s="64" t="str">
        <f ca="1">IF(AND('Mapa final'!$AA$28="Media",'Mapa final'!$AC$28="Leve"),CONCATENATE("R5C",'Mapa final'!$Q$28),"")</f>
        <v/>
      </c>
      <c r="P30" s="62" t="e">
        <f>IF(AND('Mapa final'!#REF!="Media",'Mapa final'!#REF!="Menor"),CONCATENATE("R5C",'Mapa final'!#REF!),"")</f>
        <v>#REF!</v>
      </c>
      <c r="Q30" s="63" t="str">
        <f ca="1">IF(AND('Mapa final'!$AA$24="Media",'Mapa final'!$AC$24="Menor"),CONCATENATE("R5C",'Mapa final'!$Q$24),"")</f>
        <v/>
      </c>
      <c r="R30" s="63" t="str">
        <f ca="1">IF(AND('Mapa final'!$AA$25="Media",'Mapa final'!$AC$25="Menor"),CONCATENATE("R5C",'Mapa final'!$Q$25),"")</f>
        <v/>
      </c>
      <c r="S30" s="63" t="str">
        <f ca="1">IF(AND('Mapa final'!$AA$26="Media",'Mapa final'!$AC$26="Menor"),CONCATENATE("R5C",'Mapa final'!$Q$26),"")</f>
        <v/>
      </c>
      <c r="T30" s="63" t="str">
        <f ca="1">IF(AND('Mapa final'!$AA$27="Media",'Mapa final'!$AC$27="Menor"),CONCATENATE("R5C",'Mapa final'!$Q$27),"")</f>
        <v/>
      </c>
      <c r="U30" s="64" t="str">
        <f ca="1">IF(AND('Mapa final'!$AA$28="Media",'Mapa final'!$AC$28="Menor"),CONCATENATE("R5C",'Mapa final'!$Q$28),"")</f>
        <v/>
      </c>
      <c r="V30" s="62" t="e">
        <f>IF(AND('Mapa final'!#REF!="Media",'Mapa final'!#REF!="Moderado"),CONCATENATE("R5C",'Mapa final'!#REF!),"")</f>
        <v>#REF!</v>
      </c>
      <c r="W30" s="63" t="str">
        <f ca="1">IF(AND('Mapa final'!$AA$24="Media",'Mapa final'!$AC$24="Moderado"),CONCATENATE("R5C",'Mapa final'!$Q$24),"")</f>
        <v/>
      </c>
      <c r="X30" s="63" t="str">
        <f ca="1">IF(AND('Mapa final'!$AA$25="Media",'Mapa final'!$AC$25="Moderado"),CONCATENATE("R5C",'Mapa final'!$Q$25),"")</f>
        <v/>
      </c>
      <c r="Y30" s="63" t="str">
        <f ca="1">IF(AND('Mapa final'!$AA$26="Media",'Mapa final'!$AC$26="Moderado"),CONCATENATE("R5C",'Mapa final'!$Q$26),"")</f>
        <v/>
      </c>
      <c r="Z30" s="63" t="str">
        <f ca="1">IF(AND('Mapa final'!$AA$27="Media",'Mapa final'!$AC$27="Moderado"),CONCATENATE("R5C",'Mapa final'!$Q$27),"")</f>
        <v/>
      </c>
      <c r="AA30" s="64" t="str">
        <f ca="1">IF(AND('Mapa final'!$AA$28="Media",'Mapa final'!$AC$28="Moderado"),CONCATENATE("R5C",'Mapa final'!$Q$28),"")</f>
        <v/>
      </c>
      <c r="AB30" s="47" t="e">
        <f>IF(AND('Mapa final'!#REF!="Media",'Mapa final'!#REF!="Mayor"),CONCATENATE("R5C",'Mapa final'!#REF!),"")</f>
        <v>#REF!</v>
      </c>
      <c r="AC30" s="48" t="str">
        <f ca="1">IF(AND('Mapa final'!$AA$24="Media",'Mapa final'!$AC$24="Mayor"),CONCATENATE("R5C",'Mapa final'!$Q$24),"")</f>
        <v/>
      </c>
      <c r="AD30" s="48" t="str">
        <f ca="1">IF(AND('Mapa final'!$AA$25="Media",'Mapa final'!$AC$25="Mayor"),CONCATENATE("R5C",'Mapa final'!$Q$25),"")</f>
        <v/>
      </c>
      <c r="AE30" s="48" t="str">
        <f ca="1">IF(AND('Mapa final'!$AA$26="Media",'Mapa final'!$AC$26="Mayor"),CONCATENATE("R5C",'Mapa final'!$Q$26),"")</f>
        <v/>
      </c>
      <c r="AF30" s="48" t="str">
        <f ca="1">IF(AND('Mapa final'!$AA$27="Media",'Mapa final'!$AC$27="Mayor"),CONCATENATE("R5C",'Mapa final'!$Q$27),"")</f>
        <v/>
      </c>
      <c r="AG30" s="49" t="str">
        <f ca="1">IF(AND('Mapa final'!$AA$28="Media",'Mapa final'!$AC$28="Mayor"),CONCATENATE("R5C",'Mapa final'!$Q$28),"")</f>
        <v/>
      </c>
      <c r="AH30" s="50" t="e">
        <f>IF(AND('Mapa final'!#REF!="Media",'Mapa final'!#REF!="Catastrófico"),CONCATENATE("R5C",'Mapa final'!#REF!),"")</f>
        <v>#REF!</v>
      </c>
      <c r="AI30" s="51" t="str">
        <f ca="1">IF(AND('Mapa final'!$AA$24="Media",'Mapa final'!$AC$24="Catastrófico"),CONCATENATE("R5C",'Mapa final'!$Q$24),"")</f>
        <v/>
      </c>
      <c r="AJ30" s="51" t="str">
        <f ca="1">IF(AND('Mapa final'!$AA$25="Media",'Mapa final'!$AC$25="Catastrófico"),CONCATENATE("R5C",'Mapa final'!$Q$25),"")</f>
        <v/>
      </c>
      <c r="AK30" s="51" t="str">
        <f ca="1">IF(AND('Mapa final'!$AA$26="Media",'Mapa final'!$AC$26="Catastrófico"),CONCATENATE("R5C",'Mapa final'!$Q$26),"")</f>
        <v/>
      </c>
      <c r="AL30" s="51" t="str">
        <f ca="1">IF(AND('Mapa final'!$AA$27="Media",'Mapa final'!$AC$27="Catastrófico"),CONCATENATE("R5C",'Mapa final'!$Q$27),"")</f>
        <v/>
      </c>
      <c r="AM30" s="52" t="str">
        <f ca="1">IF(AND('Mapa final'!$AA$28="Media",'Mapa final'!$AC$28="Catastrófico"),CONCATENATE("R5C",'Mapa final'!$Q$28),"")</f>
        <v/>
      </c>
      <c r="AN30" s="78"/>
      <c r="AO30" s="402"/>
      <c r="AP30" s="403"/>
      <c r="AQ30" s="403"/>
      <c r="AR30" s="403"/>
      <c r="AS30" s="403"/>
      <c r="AT30" s="404"/>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row>
    <row r="31" spans="1:76" ht="15" customHeight="1" x14ac:dyDescent="0.35">
      <c r="A31" s="78"/>
      <c r="B31" s="321"/>
      <c r="C31" s="321"/>
      <c r="D31" s="322"/>
      <c r="E31" s="362"/>
      <c r="F31" s="363"/>
      <c r="G31" s="363"/>
      <c r="H31" s="363"/>
      <c r="I31" s="364"/>
      <c r="J31" s="62" t="str">
        <f>IF(AND('Mapa final'!$AA$29="Media",'Mapa final'!$AC$29="Leve"),CONCATENATE("R6C",'Mapa final'!$Q$29),"")</f>
        <v/>
      </c>
      <c r="K31" s="63" t="e">
        <f>IF(AND('Mapa final'!#REF!="Media",'Mapa final'!#REF!="Leve"),CONCATENATE("R6C",'Mapa final'!#REF!),"")</f>
        <v>#REF!</v>
      </c>
      <c r="L31" s="63" t="e">
        <f>IF(AND('Mapa final'!#REF!="Media",'Mapa final'!#REF!="Leve"),CONCATENATE("R6C",'Mapa final'!#REF!),"")</f>
        <v>#REF!</v>
      </c>
      <c r="M31" s="63" t="str">
        <f ca="1">IF(AND('Mapa final'!$AA$30="Media",'Mapa final'!$AC$30="Leve"),CONCATENATE("R6C",'Mapa final'!$Q$30),"")</f>
        <v/>
      </c>
      <c r="N31" s="63" t="str">
        <f ca="1">IF(AND('Mapa final'!$AA$32="Media",'Mapa final'!$AC$32="Leve"),CONCATENATE("R6C",'Mapa final'!$Q$32),"")</f>
        <v/>
      </c>
      <c r="O31" s="64" t="e">
        <f>IF(AND('Mapa final'!#REF!="Media",'Mapa final'!#REF!="Leve"),CONCATENATE("R6C",'Mapa final'!#REF!),"")</f>
        <v>#REF!</v>
      </c>
      <c r="P31" s="62" t="str">
        <f>IF(AND('Mapa final'!$AA$29="Media",'Mapa final'!$AC$29="Menor"),CONCATENATE("R6C",'Mapa final'!$Q$29),"")</f>
        <v/>
      </c>
      <c r="Q31" s="63" t="e">
        <f>IF(AND('Mapa final'!#REF!="Media",'Mapa final'!#REF!="Menor"),CONCATENATE("R6C",'Mapa final'!#REF!),"")</f>
        <v>#REF!</v>
      </c>
      <c r="R31" s="63" t="e">
        <f>IF(AND('Mapa final'!#REF!="Media",'Mapa final'!#REF!="Menor"),CONCATENATE("R6C",'Mapa final'!#REF!),"")</f>
        <v>#REF!</v>
      </c>
      <c r="S31" s="63" t="str">
        <f ca="1">IF(AND('Mapa final'!$AA$30="Media",'Mapa final'!$AC$30="Menor"),CONCATENATE("R6C",'Mapa final'!$Q$30),"")</f>
        <v/>
      </c>
      <c r="T31" s="63" t="str">
        <f ca="1">IF(AND('Mapa final'!$AA$32="Media",'Mapa final'!$AC$32="Menor"),CONCATENATE("R6C",'Mapa final'!$Q$32),"")</f>
        <v/>
      </c>
      <c r="U31" s="64" t="e">
        <f>IF(AND('Mapa final'!#REF!="Media",'Mapa final'!#REF!="Menor"),CONCATENATE("R6C",'Mapa final'!#REF!),"")</f>
        <v>#REF!</v>
      </c>
      <c r="V31" s="62" t="str">
        <f>IF(AND('Mapa final'!$AA$29="Media",'Mapa final'!$AC$29="Moderado"),CONCATENATE("R6C",'Mapa final'!$Q$29),"")</f>
        <v/>
      </c>
      <c r="W31" s="63" t="e">
        <f>IF(AND('Mapa final'!#REF!="Media",'Mapa final'!#REF!="Moderado"),CONCATENATE("R6C",'Mapa final'!#REF!),"")</f>
        <v>#REF!</v>
      </c>
      <c r="X31" s="63" t="e">
        <f>IF(AND('Mapa final'!#REF!="Media",'Mapa final'!#REF!="Moderado"),CONCATENATE("R6C",'Mapa final'!#REF!),"")</f>
        <v>#REF!</v>
      </c>
      <c r="Y31" s="63" t="str">
        <f ca="1">IF(AND('Mapa final'!$AA$30="Media",'Mapa final'!$AC$30="Moderado"),CONCATENATE("R6C",'Mapa final'!$Q$30),"")</f>
        <v>R6C1</v>
      </c>
      <c r="Z31" s="63" t="str">
        <f ca="1">IF(AND('Mapa final'!$AA$32="Media",'Mapa final'!$AC$32="Moderado"),CONCATENATE("R6C",'Mapa final'!$Q$32),"")</f>
        <v/>
      </c>
      <c r="AA31" s="64" t="e">
        <f>IF(AND('Mapa final'!#REF!="Media",'Mapa final'!#REF!="Moderado"),CONCATENATE("R6C",'Mapa final'!#REF!),"")</f>
        <v>#REF!</v>
      </c>
      <c r="AB31" s="47" t="str">
        <f>IF(AND('Mapa final'!$AA$29="Media",'Mapa final'!$AC$29="Mayor"),CONCATENATE("R6C",'Mapa final'!$Q$29),"")</f>
        <v/>
      </c>
      <c r="AC31" s="48" t="e">
        <f>IF(AND('Mapa final'!#REF!="Media",'Mapa final'!#REF!="Mayor"),CONCATENATE("R6C",'Mapa final'!#REF!),"")</f>
        <v>#REF!</v>
      </c>
      <c r="AD31" s="48" t="e">
        <f>IF(AND('Mapa final'!#REF!="Media",'Mapa final'!#REF!="Mayor"),CONCATENATE("R6C",'Mapa final'!#REF!),"")</f>
        <v>#REF!</v>
      </c>
      <c r="AE31" s="48" t="str">
        <f ca="1">IF(AND('Mapa final'!$AA$30="Media",'Mapa final'!$AC$30="Mayor"),CONCATENATE("R6C",'Mapa final'!$Q$30),"")</f>
        <v/>
      </c>
      <c r="AF31" s="48" t="str">
        <f ca="1">IF(AND('Mapa final'!$AA$32="Media",'Mapa final'!$AC$32="Mayor"),CONCATENATE("R6C",'Mapa final'!$Q$32),"")</f>
        <v/>
      </c>
      <c r="AG31" s="49" t="e">
        <f>IF(AND('Mapa final'!#REF!="Media",'Mapa final'!#REF!="Mayor"),CONCATENATE("R6C",'Mapa final'!#REF!),"")</f>
        <v>#REF!</v>
      </c>
      <c r="AH31" s="50" t="str">
        <f>IF(AND('Mapa final'!$AA$29="Media",'Mapa final'!$AC$29="Catastrófico"),CONCATENATE("R6C",'Mapa final'!$Q$29),"")</f>
        <v/>
      </c>
      <c r="AI31" s="51" t="e">
        <f>IF(AND('Mapa final'!#REF!="Media",'Mapa final'!#REF!="Catastrófico"),CONCATENATE("R6C",'Mapa final'!#REF!),"")</f>
        <v>#REF!</v>
      </c>
      <c r="AJ31" s="51" t="e">
        <f>IF(AND('Mapa final'!#REF!="Media",'Mapa final'!#REF!="Catastrófico"),CONCATENATE("R6C",'Mapa final'!#REF!),"")</f>
        <v>#REF!</v>
      </c>
      <c r="AK31" s="51" t="str">
        <f ca="1">IF(AND('Mapa final'!$AA$30="Media",'Mapa final'!$AC$30="Catastrófico"),CONCATENATE("R6C",'Mapa final'!$Q$30),"")</f>
        <v/>
      </c>
      <c r="AL31" s="51" t="str">
        <f ca="1">IF(AND('Mapa final'!$AA$32="Media",'Mapa final'!$AC$32="Catastrófico"),CONCATENATE("R6C",'Mapa final'!$Q$32),"")</f>
        <v/>
      </c>
      <c r="AM31" s="52" t="e">
        <f>IF(AND('Mapa final'!#REF!="Media",'Mapa final'!#REF!="Catastrófico"),CONCATENATE("R6C",'Mapa final'!#REF!),"")</f>
        <v>#REF!</v>
      </c>
      <c r="AN31" s="78"/>
      <c r="AO31" s="402"/>
      <c r="AP31" s="403"/>
      <c r="AQ31" s="403"/>
      <c r="AR31" s="403"/>
      <c r="AS31" s="403"/>
      <c r="AT31" s="404"/>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row>
    <row r="32" spans="1:76" ht="15" customHeight="1" x14ac:dyDescent="0.35">
      <c r="A32" s="78"/>
      <c r="B32" s="321"/>
      <c r="C32" s="321"/>
      <c r="D32" s="322"/>
      <c r="E32" s="362"/>
      <c r="F32" s="363"/>
      <c r="G32" s="363"/>
      <c r="H32" s="363"/>
      <c r="I32" s="364"/>
      <c r="J32" s="62" t="e">
        <f>IF(AND('Mapa final'!#REF!="Media",'Mapa final'!#REF!="Leve"),CONCATENATE("R7C",'Mapa final'!#REF!),"")</f>
        <v>#REF!</v>
      </c>
      <c r="K32" s="63" t="str">
        <f ca="1">IF(AND('Mapa final'!$AA$34="Media",'Mapa final'!$AC$34="Leve"),CONCATENATE("R7C",'Mapa final'!$Q$34),"")</f>
        <v/>
      </c>
      <c r="L32" s="63" t="str">
        <f ca="1">IF(AND('Mapa final'!$AA$35="Media",'Mapa final'!$AC$35="Leve"),CONCATENATE("R7C",'Mapa final'!$Q$35),"")</f>
        <v/>
      </c>
      <c r="M32" s="63" t="e">
        <f>IF(AND('Mapa final'!#REF!="Media",'Mapa final'!#REF!="Leve"),CONCATENATE("R7C",'Mapa final'!#REF!),"")</f>
        <v>#REF!</v>
      </c>
      <c r="N32" s="63" t="e">
        <f>IF(AND('Mapa final'!#REF!="Media",'Mapa final'!#REF!="Leve"),CONCATENATE("R7C",'Mapa final'!#REF!),"")</f>
        <v>#REF!</v>
      </c>
      <c r="O32" s="64" t="e">
        <f>IF(AND('Mapa final'!#REF!="Media",'Mapa final'!#REF!="Leve"),CONCATENATE("R7C",'Mapa final'!#REF!),"")</f>
        <v>#REF!</v>
      </c>
      <c r="P32" s="62" t="e">
        <f>IF(AND('Mapa final'!#REF!="Media",'Mapa final'!#REF!="Menor"),CONCATENATE("R7C",'Mapa final'!#REF!),"")</f>
        <v>#REF!</v>
      </c>
      <c r="Q32" s="63" t="str">
        <f ca="1">IF(AND('Mapa final'!$AA$34="Media",'Mapa final'!$AC$34="Menor"),CONCATENATE("R7C",'Mapa final'!$Q$34),"")</f>
        <v/>
      </c>
      <c r="R32" s="63" t="str">
        <f ca="1">IF(AND('Mapa final'!$AA$35="Media",'Mapa final'!$AC$35="Menor"),CONCATENATE("R7C",'Mapa final'!$Q$35),"")</f>
        <v/>
      </c>
      <c r="S32" s="63" t="e">
        <f>IF(AND('Mapa final'!#REF!="Media",'Mapa final'!#REF!="Menor"),CONCATENATE("R7C",'Mapa final'!#REF!),"")</f>
        <v>#REF!</v>
      </c>
      <c r="T32" s="63" t="e">
        <f>IF(AND('Mapa final'!#REF!="Media",'Mapa final'!#REF!="Menor"),CONCATENATE("R7C",'Mapa final'!#REF!),"")</f>
        <v>#REF!</v>
      </c>
      <c r="U32" s="64" t="e">
        <f>IF(AND('Mapa final'!#REF!="Media",'Mapa final'!#REF!="Menor"),CONCATENATE("R7C",'Mapa final'!#REF!),"")</f>
        <v>#REF!</v>
      </c>
      <c r="V32" s="62" t="e">
        <f>IF(AND('Mapa final'!#REF!="Media",'Mapa final'!#REF!="Moderado"),CONCATENATE("R7C",'Mapa final'!#REF!),"")</f>
        <v>#REF!</v>
      </c>
      <c r="W32" s="63" t="str">
        <f ca="1">IF(AND('Mapa final'!$AA$34="Media",'Mapa final'!$AC$34="Moderado"),CONCATENATE("R7C",'Mapa final'!$Q$34),"")</f>
        <v>R7C1</v>
      </c>
      <c r="X32" s="63" t="str">
        <f ca="1">IF(AND('Mapa final'!$AA$35="Media",'Mapa final'!$AC$35="Moderado"),CONCATENATE("R7C",'Mapa final'!$Q$35),"")</f>
        <v/>
      </c>
      <c r="Y32" s="63" t="e">
        <f>IF(AND('Mapa final'!#REF!="Media",'Mapa final'!#REF!="Moderado"),CONCATENATE("R7C",'Mapa final'!#REF!),"")</f>
        <v>#REF!</v>
      </c>
      <c r="Z32" s="63" t="e">
        <f>IF(AND('Mapa final'!#REF!="Media",'Mapa final'!#REF!="Moderado"),CONCATENATE("R7C",'Mapa final'!#REF!),"")</f>
        <v>#REF!</v>
      </c>
      <c r="AA32" s="64" t="e">
        <f>IF(AND('Mapa final'!#REF!="Media",'Mapa final'!#REF!="Moderado"),CONCATENATE("R7C",'Mapa final'!#REF!),"")</f>
        <v>#REF!</v>
      </c>
      <c r="AB32" s="47" t="e">
        <f>IF(AND('Mapa final'!#REF!="Media",'Mapa final'!#REF!="Mayor"),CONCATENATE("R7C",'Mapa final'!#REF!),"")</f>
        <v>#REF!</v>
      </c>
      <c r="AC32" s="48" t="str">
        <f ca="1">IF(AND('Mapa final'!$AA$34="Media",'Mapa final'!$AC$34="Mayor"),CONCATENATE("R7C",'Mapa final'!$Q$34),"")</f>
        <v/>
      </c>
      <c r="AD32" s="48" t="str">
        <f ca="1">IF(AND('Mapa final'!$AA$35="Media",'Mapa final'!$AC$35="Mayor"),CONCATENATE("R7C",'Mapa final'!$Q$35),"")</f>
        <v/>
      </c>
      <c r="AE32" s="48" t="e">
        <f>IF(AND('Mapa final'!#REF!="Media",'Mapa final'!#REF!="Mayor"),CONCATENATE("R7C",'Mapa final'!#REF!),"")</f>
        <v>#REF!</v>
      </c>
      <c r="AF32" s="48" t="e">
        <f>IF(AND('Mapa final'!#REF!="Media",'Mapa final'!#REF!="Mayor"),CONCATENATE("R7C",'Mapa final'!#REF!),"")</f>
        <v>#REF!</v>
      </c>
      <c r="AG32" s="49" t="e">
        <f>IF(AND('Mapa final'!#REF!="Media",'Mapa final'!#REF!="Mayor"),CONCATENATE("R7C",'Mapa final'!#REF!),"")</f>
        <v>#REF!</v>
      </c>
      <c r="AH32" s="50" t="e">
        <f>IF(AND('Mapa final'!#REF!="Media",'Mapa final'!#REF!="Catastrófico"),CONCATENATE("R7C",'Mapa final'!#REF!),"")</f>
        <v>#REF!</v>
      </c>
      <c r="AI32" s="51" t="str">
        <f ca="1">IF(AND('Mapa final'!$AA$34="Media",'Mapa final'!$AC$34="Catastrófico"),CONCATENATE("R7C",'Mapa final'!$Q$34),"")</f>
        <v/>
      </c>
      <c r="AJ32" s="51" t="str">
        <f ca="1">IF(AND('Mapa final'!$AA$35="Media",'Mapa final'!$AC$35="Catastrófico"),CONCATENATE("R7C",'Mapa final'!$Q$35),"")</f>
        <v/>
      </c>
      <c r="AK32" s="51" t="e">
        <f>IF(AND('Mapa final'!#REF!="Media",'Mapa final'!#REF!="Catastrófico"),CONCATENATE("R7C",'Mapa final'!#REF!),"")</f>
        <v>#REF!</v>
      </c>
      <c r="AL32" s="51" t="e">
        <f>IF(AND('Mapa final'!#REF!="Media",'Mapa final'!#REF!="Catastrófico"),CONCATENATE("R7C",'Mapa final'!#REF!),"")</f>
        <v>#REF!</v>
      </c>
      <c r="AM32" s="52" t="e">
        <f>IF(AND('Mapa final'!#REF!="Media",'Mapa final'!#REF!="Catastrófico"),CONCATENATE("R7C",'Mapa final'!#REF!),"")</f>
        <v>#REF!</v>
      </c>
      <c r="AN32" s="78"/>
      <c r="AO32" s="402"/>
      <c r="AP32" s="403"/>
      <c r="AQ32" s="403"/>
      <c r="AR32" s="403"/>
      <c r="AS32" s="403"/>
      <c r="AT32" s="404"/>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row>
    <row r="33" spans="1:80" ht="15" customHeight="1" x14ac:dyDescent="0.35">
      <c r="A33" s="78"/>
      <c r="B33" s="321"/>
      <c r="C33" s="321"/>
      <c r="D33" s="322"/>
      <c r="E33" s="362"/>
      <c r="F33" s="363"/>
      <c r="G33" s="363"/>
      <c r="H33" s="363"/>
      <c r="I33" s="364"/>
      <c r="J33" s="62" t="e">
        <f>IF(AND('Mapa final'!#REF!="Media",'Mapa final'!#REF!="Leve"),CONCATENATE("R8C",'Mapa final'!#REF!),"")</f>
        <v>#REF!</v>
      </c>
      <c r="K33" s="63" t="e">
        <f>IF(AND('Mapa final'!#REF!="Media",'Mapa final'!#REF!="Leve"),CONCATENATE("R8C",'Mapa final'!#REF!),"")</f>
        <v>#REF!</v>
      </c>
      <c r="L33" s="63" t="str">
        <f ca="1">IF(AND('Mapa final'!$AA$36="Media",'Mapa final'!$AC$36="Leve"),CONCATENATE("R8C",'Mapa final'!$Q$36),"")</f>
        <v/>
      </c>
      <c r="M33" s="63" t="str">
        <f ca="1">IF(AND('Mapa final'!$AA$37="Media",'Mapa final'!$AC$37="Leve"),CONCATENATE("R8C",'Mapa final'!$Q$37),"")</f>
        <v/>
      </c>
      <c r="N33" s="63" t="e">
        <f>IF(AND('Mapa final'!#REF!="Media",'Mapa final'!#REF!="Leve"),CONCATENATE("R8C",'Mapa final'!#REF!),"")</f>
        <v>#REF!</v>
      </c>
      <c r="O33" s="64" t="e">
        <f>IF(AND('Mapa final'!#REF!="Media",'Mapa final'!#REF!="Leve"),CONCATENATE("R8C",'Mapa final'!#REF!),"")</f>
        <v>#REF!</v>
      </c>
      <c r="P33" s="62" t="e">
        <f>IF(AND('Mapa final'!#REF!="Media",'Mapa final'!#REF!="Menor"),CONCATENATE("R8C",'Mapa final'!#REF!),"")</f>
        <v>#REF!</v>
      </c>
      <c r="Q33" s="63" t="e">
        <f>IF(AND('Mapa final'!#REF!="Media",'Mapa final'!#REF!="Menor"),CONCATENATE("R8C",'Mapa final'!#REF!),"")</f>
        <v>#REF!</v>
      </c>
      <c r="R33" s="63" t="str">
        <f ca="1">IF(AND('Mapa final'!$AA$36="Media",'Mapa final'!$AC$36="Menor"),CONCATENATE("R8C",'Mapa final'!$Q$36),"")</f>
        <v/>
      </c>
      <c r="S33" s="63" t="str">
        <f ca="1">IF(AND('Mapa final'!$AA$37="Media",'Mapa final'!$AC$37="Menor"),CONCATENATE("R8C",'Mapa final'!$Q$37),"")</f>
        <v/>
      </c>
      <c r="T33" s="63" t="e">
        <f>IF(AND('Mapa final'!#REF!="Media",'Mapa final'!#REF!="Menor"),CONCATENATE("R8C",'Mapa final'!#REF!),"")</f>
        <v>#REF!</v>
      </c>
      <c r="U33" s="64" t="e">
        <f>IF(AND('Mapa final'!#REF!="Media",'Mapa final'!#REF!="Menor"),CONCATENATE("R8C",'Mapa final'!#REF!),"")</f>
        <v>#REF!</v>
      </c>
      <c r="V33" s="62" t="e">
        <f>IF(AND('Mapa final'!#REF!="Media",'Mapa final'!#REF!="Moderado"),CONCATENATE("R8C",'Mapa final'!#REF!),"")</f>
        <v>#REF!</v>
      </c>
      <c r="W33" s="63" t="e">
        <f>IF(AND('Mapa final'!#REF!="Media",'Mapa final'!#REF!="Moderado"),CONCATENATE("R8C",'Mapa final'!#REF!),"")</f>
        <v>#REF!</v>
      </c>
      <c r="X33" s="63" t="str">
        <f ca="1">IF(AND('Mapa final'!$AA$36="Media",'Mapa final'!$AC$36="Moderado"),CONCATENATE("R8C",'Mapa final'!$Q$36),"")</f>
        <v/>
      </c>
      <c r="Y33" s="63" t="str">
        <f ca="1">IF(AND('Mapa final'!$AA$37="Media",'Mapa final'!$AC$37="Moderado"),CONCATENATE("R8C",'Mapa final'!$Q$37),"")</f>
        <v/>
      </c>
      <c r="Z33" s="63" t="e">
        <f>IF(AND('Mapa final'!#REF!="Media",'Mapa final'!#REF!="Moderado"),CONCATENATE("R8C",'Mapa final'!#REF!),"")</f>
        <v>#REF!</v>
      </c>
      <c r="AA33" s="64" t="e">
        <f>IF(AND('Mapa final'!#REF!="Media",'Mapa final'!#REF!="Moderado"),CONCATENATE("R8C",'Mapa final'!#REF!),"")</f>
        <v>#REF!</v>
      </c>
      <c r="AB33" s="47" t="e">
        <f>IF(AND('Mapa final'!#REF!="Media",'Mapa final'!#REF!="Mayor"),CONCATENATE("R8C",'Mapa final'!#REF!),"")</f>
        <v>#REF!</v>
      </c>
      <c r="AC33" s="48" t="e">
        <f>IF(AND('Mapa final'!#REF!="Media",'Mapa final'!#REF!="Mayor"),CONCATENATE("R8C",'Mapa final'!#REF!),"")</f>
        <v>#REF!</v>
      </c>
      <c r="AD33" s="48" t="str">
        <f ca="1">IF(AND('Mapa final'!$AA$36="Media",'Mapa final'!$AC$36="Mayor"),CONCATENATE("R8C",'Mapa final'!$Q$36),"")</f>
        <v/>
      </c>
      <c r="AE33" s="48" t="str">
        <f ca="1">IF(AND('Mapa final'!$AA$37="Media",'Mapa final'!$AC$37="Mayor"),CONCATENATE("R8C",'Mapa final'!$Q$37),"")</f>
        <v>R8C2</v>
      </c>
      <c r="AF33" s="48" t="e">
        <f>IF(AND('Mapa final'!#REF!="Media",'Mapa final'!#REF!="Mayor"),CONCATENATE("R8C",'Mapa final'!#REF!),"")</f>
        <v>#REF!</v>
      </c>
      <c r="AG33" s="49" t="e">
        <f>IF(AND('Mapa final'!#REF!="Media",'Mapa final'!#REF!="Mayor"),CONCATENATE("R8C",'Mapa final'!#REF!),"")</f>
        <v>#REF!</v>
      </c>
      <c r="AH33" s="50" t="e">
        <f>IF(AND('Mapa final'!#REF!="Media",'Mapa final'!#REF!="Catastrófico"),CONCATENATE("R8C",'Mapa final'!#REF!),"")</f>
        <v>#REF!</v>
      </c>
      <c r="AI33" s="51" t="e">
        <f>IF(AND('Mapa final'!#REF!="Media",'Mapa final'!#REF!="Catastrófico"),CONCATENATE("R8C",'Mapa final'!#REF!),"")</f>
        <v>#REF!</v>
      </c>
      <c r="AJ33" s="51" t="str">
        <f ca="1">IF(AND('Mapa final'!$AA$36="Media",'Mapa final'!$AC$36="Catastrófico"),CONCATENATE("R8C",'Mapa final'!$Q$36),"")</f>
        <v/>
      </c>
      <c r="AK33" s="51" t="str">
        <f ca="1">IF(AND('Mapa final'!$AA$37="Media",'Mapa final'!$AC$37="Catastrófico"),CONCATENATE("R8C",'Mapa final'!$Q$37),"")</f>
        <v/>
      </c>
      <c r="AL33" s="51" t="e">
        <f>IF(AND('Mapa final'!#REF!="Media",'Mapa final'!#REF!="Catastrófico"),CONCATENATE("R8C",'Mapa final'!#REF!),"")</f>
        <v>#REF!</v>
      </c>
      <c r="AM33" s="52" t="e">
        <f>IF(AND('Mapa final'!#REF!="Media",'Mapa final'!#REF!="Catastrófico"),CONCATENATE("R8C",'Mapa final'!#REF!),"")</f>
        <v>#REF!</v>
      </c>
      <c r="AN33" s="78"/>
      <c r="AO33" s="402"/>
      <c r="AP33" s="403"/>
      <c r="AQ33" s="403"/>
      <c r="AR33" s="403"/>
      <c r="AS33" s="403"/>
      <c r="AT33" s="404"/>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row>
    <row r="34" spans="1:80" ht="15" customHeight="1" x14ac:dyDescent="0.35">
      <c r="A34" s="78"/>
      <c r="B34" s="321"/>
      <c r="C34" s="321"/>
      <c r="D34" s="322"/>
      <c r="E34" s="362"/>
      <c r="F34" s="363"/>
      <c r="G34" s="363"/>
      <c r="H34" s="363"/>
      <c r="I34" s="364"/>
      <c r="J34" s="62" t="str">
        <f>IF(AND('Mapa final'!$AA$38="Media",'Mapa final'!$AC$38="Leve"),CONCATENATE("R9C",'Mapa final'!$Q$38),"")</f>
        <v/>
      </c>
      <c r="K34" s="63" t="str">
        <f ca="1">IF(AND('Mapa final'!$AA$39="Media",'Mapa final'!$AC$39="Leve"),CONCATENATE("R9C",'Mapa final'!$Q$39),"")</f>
        <v/>
      </c>
      <c r="L34" s="63" t="e">
        <f>IF(AND('Mapa final'!#REF!="Media",'Mapa final'!#REF!="Leve"),CONCATENATE("R9C",'Mapa final'!#REF!),"")</f>
        <v>#REF!</v>
      </c>
      <c r="M34" s="63" t="str">
        <f ca="1">IF(AND('Mapa final'!$AA$40="Media",'Mapa final'!$AC$40="Leve"),CONCATENATE("R9C",'Mapa final'!$Q$40),"")</f>
        <v/>
      </c>
      <c r="N34" s="63" t="str">
        <f ca="1">IF(AND('Mapa final'!$AA$42="Media",'Mapa final'!$AC$42="Leve"),CONCATENATE("R9C",'Mapa final'!$Q$42),"")</f>
        <v/>
      </c>
      <c r="O34" s="64" t="str">
        <f ca="1">IF(AND('Mapa final'!$AA$43="Media",'Mapa final'!$AC$43="Leve"),CONCATENATE("R9C",'Mapa final'!$Q$43),"")</f>
        <v/>
      </c>
      <c r="P34" s="62" t="str">
        <f>IF(AND('Mapa final'!$AA$38="Media",'Mapa final'!$AC$38="Menor"),CONCATENATE("R9C",'Mapa final'!$Q$38),"")</f>
        <v/>
      </c>
      <c r="Q34" s="63" t="str">
        <f ca="1">IF(AND('Mapa final'!$AA$39="Media",'Mapa final'!$AC$39="Menor"),CONCATENATE("R9C",'Mapa final'!$Q$39),"")</f>
        <v/>
      </c>
      <c r="R34" s="63" t="e">
        <f>IF(AND('Mapa final'!#REF!="Media",'Mapa final'!#REF!="Menor"),CONCATENATE("R9C",'Mapa final'!#REF!),"")</f>
        <v>#REF!</v>
      </c>
      <c r="S34" s="63" t="str">
        <f ca="1">IF(AND('Mapa final'!$AA$40="Media",'Mapa final'!$AC$40="Menor"),CONCATENATE("R9C",'Mapa final'!$Q$40),"")</f>
        <v/>
      </c>
      <c r="T34" s="63" t="str">
        <f ca="1">IF(AND('Mapa final'!$AA$42="Media",'Mapa final'!$AC$42="Menor"),CONCATENATE("R9C",'Mapa final'!$Q$42),"")</f>
        <v/>
      </c>
      <c r="U34" s="64" t="str">
        <f ca="1">IF(AND('Mapa final'!$AA$43="Media",'Mapa final'!$AC$43="Menor"),CONCATENATE("R9C",'Mapa final'!$Q$43),"")</f>
        <v/>
      </c>
      <c r="V34" s="62" t="str">
        <f>IF(AND('Mapa final'!$AA$38="Media",'Mapa final'!$AC$38="Moderado"),CONCATENATE("R9C",'Mapa final'!$Q$38),"")</f>
        <v/>
      </c>
      <c r="W34" s="63" t="str">
        <f ca="1">IF(AND('Mapa final'!$AA$39="Media",'Mapa final'!$AC$39="Moderado"),CONCATENATE("R9C",'Mapa final'!$Q$39),"")</f>
        <v/>
      </c>
      <c r="X34" s="63" t="e">
        <f>IF(AND('Mapa final'!#REF!="Media",'Mapa final'!#REF!="Moderado"),CONCATENATE("R9C",'Mapa final'!#REF!),"")</f>
        <v>#REF!</v>
      </c>
      <c r="Y34" s="63" t="str">
        <f ca="1">IF(AND('Mapa final'!$AA$40="Media",'Mapa final'!$AC$40="Moderado"),CONCATENATE("R9C",'Mapa final'!$Q$40),"")</f>
        <v/>
      </c>
      <c r="Z34" s="63" t="str">
        <f ca="1">IF(AND('Mapa final'!$AA$42="Media",'Mapa final'!$AC$42="Moderado"),CONCATENATE("R9C",'Mapa final'!$Q$42),"")</f>
        <v/>
      </c>
      <c r="AA34" s="64" t="str">
        <f ca="1">IF(AND('Mapa final'!$AA$43="Media",'Mapa final'!$AC$43="Moderado"),CONCATENATE("R9C",'Mapa final'!$Q$43),"")</f>
        <v/>
      </c>
      <c r="AB34" s="47" t="str">
        <f>IF(AND('Mapa final'!$AA$38="Media",'Mapa final'!$AC$38="Mayor"),CONCATENATE("R9C",'Mapa final'!$Q$38),"")</f>
        <v/>
      </c>
      <c r="AC34" s="48" t="str">
        <f ca="1">IF(AND('Mapa final'!$AA$39="Media",'Mapa final'!$AC$39="Mayor"),CONCATENATE("R9C",'Mapa final'!$Q$39),"")</f>
        <v/>
      </c>
      <c r="AD34" s="48" t="e">
        <f>IF(AND('Mapa final'!#REF!="Media",'Mapa final'!#REF!="Mayor"),CONCATENATE("R9C",'Mapa final'!#REF!),"")</f>
        <v>#REF!</v>
      </c>
      <c r="AE34" s="48" t="str">
        <f ca="1">IF(AND('Mapa final'!$AA$40="Media",'Mapa final'!$AC$40="Mayor"),CONCATENATE("R9C",'Mapa final'!$Q$40),"")</f>
        <v/>
      </c>
      <c r="AF34" s="48" t="str">
        <f ca="1">IF(AND('Mapa final'!$AA$42="Media",'Mapa final'!$AC$42="Mayor"),CONCATENATE("R9C",'Mapa final'!$Q$42),"")</f>
        <v/>
      </c>
      <c r="AG34" s="49" t="str">
        <f ca="1">IF(AND('Mapa final'!$AA$43="Media",'Mapa final'!$AC$43="Mayor"),CONCATENATE("R9C",'Mapa final'!$Q$43),"")</f>
        <v/>
      </c>
      <c r="AH34" s="50" t="str">
        <f>IF(AND('Mapa final'!$AA$38="Media",'Mapa final'!$AC$38="Catastrófico"),CONCATENATE("R9C",'Mapa final'!$Q$38),"")</f>
        <v/>
      </c>
      <c r="AI34" s="51" t="str">
        <f ca="1">IF(AND('Mapa final'!$AA$39="Media",'Mapa final'!$AC$39="Catastrófico"),CONCATENATE("R9C",'Mapa final'!$Q$39),"")</f>
        <v/>
      </c>
      <c r="AJ34" s="51" t="e">
        <f>IF(AND('Mapa final'!#REF!="Media",'Mapa final'!#REF!="Catastrófico"),CONCATENATE("R9C",'Mapa final'!#REF!),"")</f>
        <v>#REF!</v>
      </c>
      <c r="AK34" s="51" t="str">
        <f ca="1">IF(AND('Mapa final'!$AA$40="Media",'Mapa final'!$AC$40="Catastrófico"),CONCATENATE("R9C",'Mapa final'!$Q$40),"")</f>
        <v/>
      </c>
      <c r="AL34" s="51" t="str">
        <f ca="1">IF(AND('Mapa final'!$AA$42="Media",'Mapa final'!$AC$42="Catastrófico"),CONCATENATE("R9C",'Mapa final'!$Q$42),"")</f>
        <v/>
      </c>
      <c r="AM34" s="52" t="str">
        <f ca="1">IF(AND('Mapa final'!$AA$43="Media",'Mapa final'!$AC$43="Catastrófico"),CONCATENATE("R9C",'Mapa final'!$Q$43),"")</f>
        <v/>
      </c>
      <c r="AN34" s="78"/>
      <c r="AO34" s="402"/>
      <c r="AP34" s="403"/>
      <c r="AQ34" s="403"/>
      <c r="AR34" s="403"/>
      <c r="AS34" s="403"/>
      <c r="AT34" s="404"/>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row>
    <row r="35" spans="1:80" ht="15.75" customHeight="1" thickBot="1" x14ac:dyDescent="0.4">
      <c r="A35" s="78"/>
      <c r="B35" s="321"/>
      <c r="C35" s="321"/>
      <c r="D35" s="322"/>
      <c r="E35" s="365"/>
      <c r="F35" s="366"/>
      <c r="G35" s="366"/>
      <c r="H35" s="366"/>
      <c r="I35" s="367"/>
      <c r="J35" s="62" t="e">
        <f>IF(AND('Mapa final'!#REF!="Media",'Mapa final'!#REF!="Leve"),CONCATENATE("R10C",'Mapa final'!#REF!),"")</f>
        <v>#REF!</v>
      </c>
      <c r="K35" s="63" t="str">
        <f ca="1">IF(AND('Mapa final'!$AA$44="Media",'Mapa final'!$AC$44="Leve"),CONCATENATE("R10C",'Mapa final'!$Q$44),"")</f>
        <v/>
      </c>
      <c r="L35" s="63" t="e">
        <f>IF(AND('Mapa final'!#REF!="Media",'Mapa final'!#REF!="Leve"),CONCATENATE("R10C",'Mapa final'!#REF!),"")</f>
        <v>#REF!</v>
      </c>
      <c r="M35" s="63" t="e">
        <f>IF(AND('Mapa final'!#REF!="Media",'Mapa final'!#REF!="Leve"),CONCATENATE("R10C",'Mapa final'!#REF!),"")</f>
        <v>#REF!</v>
      </c>
      <c r="N35" s="63" t="e">
        <f>IF(AND('Mapa final'!#REF!="Media",'Mapa final'!#REF!="Leve"),CONCATENATE("R10C",'Mapa final'!#REF!),"")</f>
        <v>#REF!</v>
      </c>
      <c r="O35" s="64" t="e">
        <f>IF(AND('Mapa final'!#REF!="Media",'Mapa final'!#REF!="Leve"),CONCATENATE("R10C",'Mapa final'!#REF!),"")</f>
        <v>#REF!</v>
      </c>
      <c r="P35" s="62" t="e">
        <f>IF(AND('Mapa final'!#REF!="Media",'Mapa final'!#REF!="Menor"),CONCATENATE("R10C",'Mapa final'!#REF!),"")</f>
        <v>#REF!</v>
      </c>
      <c r="Q35" s="63" t="str">
        <f ca="1">IF(AND('Mapa final'!$AA$44="Media",'Mapa final'!$AC$44="Menor"),CONCATENATE("R10C",'Mapa final'!$Q$44),"")</f>
        <v/>
      </c>
      <c r="R35" s="63" t="e">
        <f>IF(AND('Mapa final'!#REF!="Media",'Mapa final'!#REF!="Menor"),CONCATENATE("R10C",'Mapa final'!#REF!),"")</f>
        <v>#REF!</v>
      </c>
      <c r="S35" s="63" t="e">
        <f>IF(AND('Mapa final'!#REF!="Media",'Mapa final'!#REF!="Menor"),CONCATENATE("R10C",'Mapa final'!#REF!),"")</f>
        <v>#REF!</v>
      </c>
      <c r="T35" s="63" t="e">
        <f>IF(AND('Mapa final'!#REF!="Media",'Mapa final'!#REF!="Menor"),CONCATENATE("R10C",'Mapa final'!#REF!),"")</f>
        <v>#REF!</v>
      </c>
      <c r="U35" s="64" t="e">
        <f>IF(AND('Mapa final'!#REF!="Media",'Mapa final'!#REF!="Menor"),CONCATENATE("R10C",'Mapa final'!#REF!),"")</f>
        <v>#REF!</v>
      </c>
      <c r="V35" s="62" t="e">
        <f>IF(AND('Mapa final'!#REF!="Media",'Mapa final'!#REF!="Moderado"),CONCATENATE("R10C",'Mapa final'!#REF!),"")</f>
        <v>#REF!</v>
      </c>
      <c r="W35" s="63" t="str">
        <f ca="1">IF(AND('Mapa final'!$AA$44="Media",'Mapa final'!$AC$44="Moderado"),CONCATENATE("R10C",'Mapa final'!$Q$44),"")</f>
        <v/>
      </c>
      <c r="X35" s="63" t="e">
        <f>IF(AND('Mapa final'!#REF!="Media",'Mapa final'!#REF!="Moderado"),CONCATENATE("R10C",'Mapa final'!#REF!),"")</f>
        <v>#REF!</v>
      </c>
      <c r="Y35" s="63" t="e">
        <f>IF(AND('Mapa final'!#REF!="Media",'Mapa final'!#REF!="Moderado"),CONCATENATE("R10C",'Mapa final'!#REF!),"")</f>
        <v>#REF!</v>
      </c>
      <c r="Z35" s="63" t="e">
        <f>IF(AND('Mapa final'!#REF!="Media",'Mapa final'!#REF!="Moderado"),CONCATENATE("R10C",'Mapa final'!#REF!),"")</f>
        <v>#REF!</v>
      </c>
      <c r="AA35" s="64" t="e">
        <f>IF(AND('Mapa final'!#REF!="Media",'Mapa final'!#REF!="Moderado"),CONCATENATE("R10C",'Mapa final'!#REF!),"")</f>
        <v>#REF!</v>
      </c>
      <c r="AB35" s="53" t="e">
        <f>IF(AND('Mapa final'!#REF!="Media",'Mapa final'!#REF!="Mayor"),CONCATENATE("R10C",'Mapa final'!#REF!),"")</f>
        <v>#REF!</v>
      </c>
      <c r="AC35" s="54" t="str">
        <f ca="1">IF(AND('Mapa final'!$AA$44="Media",'Mapa final'!$AC$44="Mayor"),CONCATENATE("R10C",'Mapa final'!$Q$44),"")</f>
        <v/>
      </c>
      <c r="AD35" s="54" t="e">
        <f>IF(AND('Mapa final'!#REF!="Media",'Mapa final'!#REF!="Mayor"),CONCATENATE("R10C",'Mapa final'!#REF!),"")</f>
        <v>#REF!</v>
      </c>
      <c r="AE35" s="54" t="e">
        <f>IF(AND('Mapa final'!#REF!="Media",'Mapa final'!#REF!="Mayor"),CONCATENATE("R10C",'Mapa final'!#REF!),"")</f>
        <v>#REF!</v>
      </c>
      <c r="AF35" s="54" t="e">
        <f>IF(AND('Mapa final'!#REF!="Media",'Mapa final'!#REF!="Mayor"),CONCATENATE("R10C",'Mapa final'!#REF!),"")</f>
        <v>#REF!</v>
      </c>
      <c r="AG35" s="55" t="e">
        <f>IF(AND('Mapa final'!#REF!="Media",'Mapa final'!#REF!="Mayor"),CONCATENATE("R10C",'Mapa final'!#REF!),"")</f>
        <v>#REF!</v>
      </c>
      <c r="AH35" s="56" t="e">
        <f>IF(AND('Mapa final'!#REF!="Media",'Mapa final'!#REF!="Catastrófico"),CONCATENATE("R10C",'Mapa final'!#REF!),"")</f>
        <v>#REF!</v>
      </c>
      <c r="AI35" s="57" t="str">
        <f ca="1">IF(AND('Mapa final'!$AA$44="Media",'Mapa final'!$AC$44="Catastrófico"),CONCATENATE("R10C",'Mapa final'!$Q$44),"")</f>
        <v/>
      </c>
      <c r="AJ35" s="57" t="e">
        <f>IF(AND('Mapa final'!#REF!="Media",'Mapa final'!#REF!="Catastrófico"),CONCATENATE("R10C",'Mapa final'!#REF!),"")</f>
        <v>#REF!</v>
      </c>
      <c r="AK35" s="57" t="e">
        <f>IF(AND('Mapa final'!#REF!="Media",'Mapa final'!#REF!="Catastrófico"),CONCATENATE("R10C",'Mapa final'!#REF!),"")</f>
        <v>#REF!</v>
      </c>
      <c r="AL35" s="57" t="e">
        <f>IF(AND('Mapa final'!#REF!="Media",'Mapa final'!#REF!="Catastrófico"),CONCATENATE("R10C",'Mapa final'!#REF!),"")</f>
        <v>#REF!</v>
      </c>
      <c r="AM35" s="58" t="e">
        <f>IF(AND('Mapa final'!#REF!="Media",'Mapa final'!#REF!="Catastrófico"),CONCATENATE("R10C",'Mapa final'!#REF!),"")</f>
        <v>#REF!</v>
      </c>
      <c r="AN35" s="78"/>
      <c r="AO35" s="405"/>
      <c r="AP35" s="406"/>
      <c r="AQ35" s="406"/>
      <c r="AR35" s="406"/>
      <c r="AS35" s="406"/>
      <c r="AT35" s="407"/>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row>
    <row r="36" spans="1:80" ht="15" customHeight="1" x14ac:dyDescent="0.35">
      <c r="A36" s="78"/>
      <c r="B36" s="321"/>
      <c r="C36" s="321"/>
      <c r="D36" s="322"/>
      <c r="E36" s="359" t="s">
        <v>113</v>
      </c>
      <c r="F36" s="360"/>
      <c r="G36" s="360"/>
      <c r="H36" s="360"/>
      <c r="I36" s="360"/>
      <c r="J36" s="68" t="str">
        <f>IF(AND('Mapa final'!$AA$6="Baja",'Mapa final'!$AC$6="Leve"),CONCATENATE("R1C",'Mapa final'!$Q$6),"")</f>
        <v/>
      </c>
      <c r="K36" s="69" t="str">
        <f ca="1">IF(AND('Mapa final'!$AA$7="Baja",'Mapa final'!$AC$7="Leve"),CONCATENATE("R1C",'Mapa final'!$Q$7),"")</f>
        <v/>
      </c>
      <c r="L36" s="69" t="str">
        <f ca="1">IF(AND('Mapa final'!$AA$8="Baja",'Mapa final'!$AC$8="Leve"),CONCATENATE("R1C",'Mapa final'!$Q$8),"")</f>
        <v/>
      </c>
      <c r="M36" s="69" t="str">
        <f ca="1">IF(AND('Mapa final'!$AA$9="Baja",'Mapa final'!$AC$9="Leve"),CONCATENATE("R1C",'Mapa final'!$Q$9),"")</f>
        <v/>
      </c>
      <c r="N36" s="69" t="str">
        <f ca="1">IF(AND('Mapa final'!$AA$10="Baja",'Mapa final'!$AC$10="Leve"),CONCATENATE("R1C",'Mapa final'!$Q$10),"")</f>
        <v/>
      </c>
      <c r="O36" s="70" t="str">
        <f ca="1">IF(AND('Mapa final'!$AA$11="Baja",'Mapa final'!$AC$11="Leve"),CONCATENATE("R1C",'Mapa final'!$Q$11),"")</f>
        <v/>
      </c>
      <c r="P36" s="59" t="str">
        <f>IF(AND('Mapa final'!$AA$6="Baja",'Mapa final'!$AC$6="Menor"),CONCATENATE("R1C",'Mapa final'!$Q$6),"")</f>
        <v/>
      </c>
      <c r="Q36" s="60" t="str">
        <f ca="1">IF(AND('Mapa final'!$AA$7="Baja",'Mapa final'!$AC$7="Menor"),CONCATENATE("R1C",'Mapa final'!$Q$7),"")</f>
        <v/>
      </c>
      <c r="R36" s="60" t="str">
        <f ca="1">IF(AND('Mapa final'!$AA$8="Baja",'Mapa final'!$AC$8="Menor"),CONCATENATE("R1C",'Mapa final'!$Q$8),"")</f>
        <v/>
      </c>
      <c r="S36" s="60" t="str">
        <f ca="1">IF(AND('Mapa final'!$AA$9="Baja",'Mapa final'!$AC$9="Menor"),CONCATENATE("R1C",'Mapa final'!$Q$9),"")</f>
        <v/>
      </c>
      <c r="T36" s="60" t="str">
        <f ca="1">IF(AND('Mapa final'!$AA$10="Baja",'Mapa final'!$AC$10="Menor"),CONCATENATE("R1C",'Mapa final'!$Q$10),"")</f>
        <v/>
      </c>
      <c r="U36" s="61" t="str">
        <f ca="1">IF(AND('Mapa final'!$AA$11="Baja",'Mapa final'!$AC$11="Menor"),CONCATENATE("R1C",'Mapa final'!$Q$11),"")</f>
        <v/>
      </c>
      <c r="V36" s="59" t="str">
        <f>IF(AND('Mapa final'!$AA$6="Baja",'Mapa final'!$AC$6="Moderado"),CONCATENATE("R1C",'Mapa final'!$Q$6),"")</f>
        <v>R1C2</v>
      </c>
      <c r="W36" s="60" t="str">
        <f ca="1">IF(AND('Mapa final'!$AA$7="Baja",'Mapa final'!$AC$7="Moderado"),CONCATENATE("R1C",'Mapa final'!$Q$7),"")</f>
        <v/>
      </c>
      <c r="X36" s="60" t="str">
        <f ca="1">IF(AND('Mapa final'!$AA$8="Baja",'Mapa final'!$AC$8="Moderado"),CONCATENATE("R1C",'Mapa final'!$Q$8),"")</f>
        <v/>
      </c>
      <c r="Y36" s="60" t="str">
        <f ca="1">IF(AND('Mapa final'!$AA$9="Baja",'Mapa final'!$AC$9="Moderado"),CONCATENATE("R1C",'Mapa final'!$Q$9),"")</f>
        <v/>
      </c>
      <c r="Z36" s="60" t="str">
        <f ca="1">IF(AND('Mapa final'!$AA$10="Baja",'Mapa final'!$AC$10="Moderado"),CONCATENATE("R1C",'Mapa final'!$Q$10),"")</f>
        <v/>
      </c>
      <c r="AA36" s="61" t="str">
        <f ca="1">IF(AND('Mapa final'!$AA$11="Baja",'Mapa final'!$AC$11="Moderado"),CONCATENATE("R1C",'Mapa final'!$Q$11),"")</f>
        <v/>
      </c>
      <c r="AB36" s="41" t="str">
        <f>IF(AND('Mapa final'!$AA$6="Baja",'Mapa final'!$AC$6="Mayor"),CONCATENATE("R1C",'Mapa final'!$Q$6),"")</f>
        <v/>
      </c>
      <c r="AC36" s="42" t="str">
        <f ca="1">IF(AND('Mapa final'!$AA$7="Baja",'Mapa final'!$AC$7="Mayor"),CONCATENATE("R1C",'Mapa final'!$Q$7),"")</f>
        <v>R1C1</v>
      </c>
      <c r="AD36" s="42" t="str">
        <f ca="1">IF(AND('Mapa final'!$AA$8="Baja",'Mapa final'!$AC$8="Mayor"),CONCATENATE("R1C",'Mapa final'!$Q$8),"")</f>
        <v/>
      </c>
      <c r="AE36" s="42" t="str">
        <f ca="1">IF(AND('Mapa final'!$AA$9="Baja",'Mapa final'!$AC$9="Mayor"),CONCATENATE("R1C",'Mapa final'!$Q$9),"")</f>
        <v/>
      </c>
      <c r="AF36" s="42" t="str">
        <f ca="1">IF(AND('Mapa final'!$AA$10="Baja",'Mapa final'!$AC$10="Mayor"),CONCATENATE("R1C",'Mapa final'!$Q$10),"")</f>
        <v/>
      </c>
      <c r="AG36" s="43" t="str">
        <f ca="1">IF(AND('Mapa final'!$AA$11="Baja",'Mapa final'!$AC$11="Mayor"),CONCATENATE("R1C",'Mapa final'!$Q$11),"")</f>
        <v/>
      </c>
      <c r="AH36" s="44" t="str">
        <f>IF(AND('Mapa final'!$AA$6="Baja",'Mapa final'!$AC$6="Catastrófico"),CONCATENATE("R1C",'Mapa final'!$Q$6),"")</f>
        <v/>
      </c>
      <c r="AI36" s="45" t="str">
        <f ca="1">IF(AND('Mapa final'!$AA$7="Baja",'Mapa final'!$AC$7="Catastrófico"),CONCATENATE("R1C",'Mapa final'!$Q$7),"")</f>
        <v/>
      </c>
      <c r="AJ36" s="45" t="str">
        <f ca="1">IF(AND('Mapa final'!$AA$8="Baja",'Mapa final'!$AC$8="Catastrófico"),CONCATENATE("R1C",'Mapa final'!$Q$8),"")</f>
        <v/>
      </c>
      <c r="AK36" s="45" t="str">
        <f ca="1">IF(AND('Mapa final'!$AA$9="Baja",'Mapa final'!$AC$9="Catastrófico"),CONCATENATE("R1C",'Mapa final'!$Q$9),"")</f>
        <v/>
      </c>
      <c r="AL36" s="45" t="str">
        <f ca="1">IF(AND('Mapa final'!$AA$10="Baja",'Mapa final'!$AC$10="Catastrófico"),CONCATENATE("R1C",'Mapa final'!$Q$10),"")</f>
        <v/>
      </c>
      <c r="AM36" s="46" t="str">
        <f ca="1">IF(AND('Mapa final'!$AA$11="Baja",'Mapa final'!$AC$11="Catastrófico"),CONCATENATE("R1C",'Mapa final'!$Q$11),"")</f>
        <v/>
      </c>
      <c r="AN36" s="78"/>
      <c r="AO36" s="390" t="s">
        <v>81</v>
      </c>
      <c r="AP36" s="391"/>
      <c r="AQ36" s="391"/>
      <c r="AR36" s="391"/>
      <c r="AS36" s="391"/>
      <c r="AT36" s="392"/>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row>
    <row r="37" spans="1:80" ht="15" customHeight="1" x14ac:dyDescent="0.35">
      <c r="A37" s="78"/>
      <c r="B37" s="321"/>
      <c r="C37" s="321"/>
      <c r="D37" s="322"/>
      <c r="E37" s="378"/>
      <c r="F37" s="363"/>
      <c r="G37" s="363"/>
      <c r="H37" s="363"/>
      <c r="I37" s="363"/>
      <c r="J37" s="71" t="str">
        <f>IF(AND('Mapa final'!$AA$12="Baja",'Mapa final'!$AC$12="Leve"),CONCATENATE("R2C",'Mapa final'!$Q$12),"")</f>
        <v/>
      </c>
      <c r="K37" s="72" t="str">
        <f ca="1">IF(AND('Mapa final'!$AA$13="Baja",'Mapa final'!$AC$13="Leve"),CONCATENATE("R2C",'Mapa final'!$Q$13),"")</f>
        <v/>
      </c>
      <c r="L37" s="72" t="str">
        <f ca="1">IF(AND('Mapa final'!$AA$14="Baja",'Mapa final'!$AC$14="Leve"),CONCATENATE("R2C",'Mapa final'!$Q$14),"")</f>
        <v/>
      </c>
      <c r="M37" s="72" t="str">
        <f ca="1">IF(AND('Mapa final'!$AA$15="Baja",'Mapa final'!$AC$15="Leve"),CONCATENATE("R2C",'Mapa final'!$Q$15),"")</f>
        <v/>
      </c>
      <c r="N37" s="72" t="str">
        <f ca="1">IF(AND('Mapa final'!$AA$16="Baja",'Mapa final'!$AC$16="Leve"),CONCATENATE("R2C",'Mapa final'!$Q$16),"")</f>
        <v/>
      </c>
      <c r="O37" s="73" t="e">
        <f>IF(AND('Mapa final'!#REF!="Baja",'Mapa final'!#REF!="Leve"),CONCATENATE("R2C",'Mapa final'!#REF!),"")</f>
        <v>#REF!</v>
      </c>
      <c r="P37" s="62" t="str">
        <f>IF(AND('Mapa final'!$AA$12="Baja",'Mapa final'!$AC$12="Menor"),CONCATENATE("R2C",'Mapa final'!$Q$12),"")</f>
        <v/>
      </c>
      <c r="Q37" s="63" t="str">
        <f ca="1">IF(AND('Mapa final'!$AA$13="Baja",'Mapa final'!$AC$13="Menor"),CONCATENATE("R2C",'Mapa final'!$Q$13),"")</f>
        <v/>
      </c>
      <c r="R37" s="63" t="str">
        <f ca="1">IF(AND('Mapa final'!$AA$14="Baja",'Mapa final'!$AC$14="Menor"),CONCATENATE("R2C",'Mapa final'!$Q$14),"")</f>
        <v/>
      </c>
      <c r="S37" s="63" t="str">
        <f ca="1">IF(AND('Mapa final'!$AA$15="Baja",'Mapa final'!$AC$15="Menor"),CONCATENATE("R2C",'Mapa final'!$Q$15),"")</f>
        <v/>
      </c>
      <c r="T37" s="63" t="str">
        <f ca="1">IF(AND('Mapa final'!$AA$16="Baja",'Mapa final'!$AC$16="Menor"),CONCATENATE("R2C",'Mapa final'!$Q$16),"")</f>
        <v/>
      </c>
      <c r="U37" s="64" t="e">
        <f>IF(AND('Mapa final'!#REF!="Baja",'Mapa final'!#REF!="Menor"),CONCATENATE("R2C",'Mapa final'!#REF!),"")</f>
        <v>#REF!</v>
      </c>
      <c r="V37" s="62" t="str">
        <f>IF(AND('Mapa final'!$AA$12="Baja",'Mapa final'!$AC$12="Moderado"),CONCATENATE("R2C",'Mapa final'!$Q$12),"")</f>
        <v>R2C2</v>
      </c>
      <c r="W37" s="63" t="str">
        <f ca="1">IF(AND('Mapa final'!$AA$13="Baja",'Mapa final'!$AC$13="Moderado"),CONCATENATE("R2C",'Mapa final'!$Q$13),"")</f>
        <v>R2C1</v>
      </c>
      <c r="X37" s="63" t="str">
        <f ca="1">IF(AND('Mapa final'!$AA$14="Baja",'Mapa final'!$AC$14="Moderado"),CONCATENATE("R2C",'Mapa final'!$Q$14),"")</f>
        <v/>
      </c>
      <c r="Y37" s="63" t="str">
        <f ca="1">IF(AND('Mapa final'!$AA$15="Baja",'Mapa final'!$AC$15="Moderado"),CONCATENATE("R2C",'Mapa final'!$Q$15),"")</f>
        <v/>
      </c>
      <c r="Z37" s="63" t="str">
        <f ca="1">IF(AND('Mapa final'!$AA$16="Baja",'Mapa final'!$AC$16="Moderado"),CONCATENATE("R2C",'Mapa final'!$Q$16),"")</f>
        <v/>
      </c>
      <c r="AA37" s="64" t="e">
        <f>IF(AND('Mapa final'!#REF!="Baja",'Mapa final'!#REF!="Moderado"),CONCATENATE("R2C",'Mapa final'!#REF!),"")</f>
        <v>#REF!</v>
      </c>
      <c r="AB37" s="47" t="str">
        <f>IF(AND('Mapa final'!$AA$12="Baja",'Mapa final'!$AC$12="Mayor"),CONCATENATE("R2C",'Mapa final'!$Q$12),"")</f>
        <v/>
      </c>
      <c r="AC37" s="48" t="str">
        <f ca="1">IF(AND('Mapa final'!$AA$13="Baja",'Mapa final'!$AC$13="Mayor"),CONCATENATE("R2C",'Mapa final'!$Q$13),"")</f>
        <v/>
      </c>
      <c r="AD37" s="48" t="str">
        <f ca="1">IF(AND('Mapa final'!$AA$14="Baja",'Mapa final'!$AC$14="Mayor"),CONCATENATE("R2C",'Mapa final'!$Q$14),"")</f>
        <v/>
      </c>
      <c r="AE37" s="48" t="str">
        <f ca="1">IF(AND('Mapa final'!$AA$15="Baja",'Mapa final'!$AC$15="Mayor"),CONCATENATE("R2C",'Mapa final'!$Q$15),"")</f>
        <v/>
      </c>
      <c r="AF37" s="48" t="str">
        <f ca="1">IF(AND('Mapa final'!$AA$16="Baja",'Mapa final'!$AC$16="Mayor"),CONCATENATE("R2C",'Mapa final'!$Q$16),"")</f>
        <v/>
      </c>
      <c r="AG37" s="49" t="e">
        <f>IF(AND('Mapa final'!#REF!="Baja",'Mapa final'!#REF!="Mayor"),CONCATENATE("R2C",'Mapa final'!#REF!),"")</f>
        <v>#REF!</v>
      </c>
      <c r="AH37" s="50" t="str">
        <f>IF(AND('Mapa final'!$AA$12="Baja",'Mapa final'!$AC$12="Catastrófico"),CONCATENATE("R2C",'Mapa final'!$Q$12),"")</f>
        <v/>
      </c>
      <c r="AI37" s="51" t="str">
        <f ca="1">IF(AND('Mapa final'!$AA$13="Baja",'Mapa final'!$AC$13="Catastrófico"),CONCATENATE("R2C",'Mapa final'!$Q$13),"")</f>
        <v/>
      </c>
      <c r="AJ37" s="51" t="str">
        <f ca="1">IF(AND('Mapa final'!$AA$14="Baja",'Mapa final'!$AC$14="Catastrófico"),CONCATENATE("R2C",'Mapa final'!$Q$14),"")</f>
        <v/>
      </c>
      <c r="AK37" s="51" t="str">
        <f ca="1">IF(AND('Mapa final'!$AA$15="Baja",'Mapa final'!$AC$15="Catastrófico"),CONCATENATE("R2C",'Mapa final'!$Q$15),"")</f>
        <v/>
      </c>
      <c r="AL37" s="51" t="str">
        <f ca="1">IF(AND('Mapa final'!$AA$16="Baja",'Mapa final'!$AC$16="Catastrófico"),CONCATENATE("R2C",'Mapa final'!$Q$16),"")</f>
        <v/>
      </c>
      <c r="AM37" s="52" t="e">
        <f>IF(AND('Mapa final'!#REF!="Baja",'Mapa final'!#REF!="Catastrófico"),CONCATENATE("R2C",'Mapa final'!#REF!),"")</f>
        <v>#REF!</v>
      </c>
      <c r="AN37" s="78"/>
      <c r="AO37" s="393"/>
      <c r="AP37" s="394"/>
      <c r="AQ37" s="394"/>
      <c r="AR37" s="394"/>
      <c r="AS37" s="394"/>
      <c r="AT37" s="395"/>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row>
    <row r="38" spans="1:80" ht="15" customHeight="1" x14ac:dyDescent="0.35">
      <c r="A38" s="78"/>
      <c r="B38" s="321"/>
      <c r="C38" s="321"/>
      <c r="D38" s="322"/>
      <c r="E38" s="362"/>
      <c r="F38" s="363"/>
      <c r="G38" s="363"/>
      <c r="H38" s="363"/>
      <c r="I38" s="363"/>
      <c r="J38" s="71" t="e">
        <f>IF(AND('Mapa final'!#REF!="Baja",'Mapa final'!#REF!="Leve"),CONCATENATE("R3C",'Mapa final'!#REF!),"")</f>
        <v>#REF!</v>
      </c>
      <c r="K38" s="72" t="e">
        <f>IF(AND('Mapa final'!#REF!="Baja",'Mapa final'!#REF!="Leve"),CONCATENATE("R3C",'Mapa final'!#REF!),"")</f>
        <v>#REF!</v>
      </c>
      <c r="L38" s="72" t="e">
        <f>IF(AND('Mapa final'!#REF!="Baja",'Mapa final'!#REF!="Leve"),CONCATENATE("R3C",'Mapa final'!#REF!),"")</f>
        <v>#REF!</v>
      </c>
      <c r="M38" s="72" t="e">
        <f>IF(AND('Mapa final'!#REF!="Baja",'Mapa final'!#REF!="Leve"),CONCATENATE("R3C",'Mapa final'!#REF!),"")</f>
        <v>#REF!</v>
      </c>
      <c r="N38" s="72" t="str">
        <f ca="1">IF(AND('Mapa final'!$AA$17="Baja",'Mapa final'!$AC$17="Leve"),CONCATENATE("R3C",'Mapa final'!$Q$17),"")</f>
        <v/>
      </c>
      <c r="O38" s="73" t="str">
        <f ca="1">IF(AND('Mapa final'!$AA$18="Baja",'Mapa final'!$AC$18="Leve"),CONCATENATE("R3C",'Mapa final'!$Q$18),"")</f>
        <v/>
      </c>
      <c r="P38" s="62" t="e">
        <f>IF(AND('Mapa final'!#REF!="Baja",'Mapa final'!#REF!="Menor"),CONCATENATE("R3C",'Mapa final'!#REF!),"")</f>
        <v>#REF!</v>
      </c>
      <c r="Q38" s="63" t="e">
        <f>IF(AND('Mapa final'!#REF!="Baja",'Mapa final'!#REF!="Menor"),CONCATENATE("R3C",'Mapa final'!#REF!),"")</f>
        <v>#REF!</v>
      </c>
      <c r="R38" s="63" t="e">
        <f>IF(AND('Mapa final'!#REF!="Baja",'Mapa final'!#REF!="Menor"),CONCATENATE("R3C",'Mapa final'!#REF!),"")</f>
        <v>#REF!</v>
      </c>
      <c r="S38" s="63" t="e">
        <f>IF(AND('Mapa final'!#REF!="Baja",'Mapa final'!#REF!="Menor"),CONCATENATE("R3C",'Mapa final'!#REF!),"")</f>
        <v>#REF!</v>
      </c>
      <c r="T38" s="63" t="str">
        <f ca="1">IF(AND('Mapa final'!$AA$17="Baja",'Mapa final'!$AC$17="Menor"),CONCATENATE("R3C",'Mapa final'!$Q$17),"")</f>
        <v/>
      </c>
      <c r="U38" s="64" t="str">
        <f ca="1">IF(AND('Mapa final'!$AA$18="Baja",'Mapa final'!$AC$18="Menor"),CONCATENATE("R3C",'Mapa final'!$Q$18),"")</f>
        <v/>
      </c>
      <c r="V38" s="62" t="e">
        <f>IF(AND('Mapa final'!#REF!="Baja",'Mapa final'!#REF!="Moderado"),CONCATENATE("R3C",'Mapa final'!#REF!),"")</f>
        <v>#REF!</v>
      </c>
      <c r="W38" s="63" t="e">
        <f>IF(AND('Mapa final'!#REF!="Baja",'Mapa final'!#REF!="Moderado"),CONCATENATE("R3C",'Mapa final'!#REF!),"")</f>
        <v>#REF!</v>
      </c>
      <c r="X38" s="63" t="e">
        <f>IF(AND('Mapa final'!#REF!="Baja",'Mapa final'!#REF!="Moderado"),CONCATENATE("R3C",'Mapa final'!#REF!),"")</f>
        <v>#REF!</v>
      </c>
      <c r="Y38" s="63" t="e">
        <f>IF(AND('Mapa final'!#REF!="Baja",'Mapa final'!#REF!="Moderado"),CONCATENATE("R3C",'Mapa final'!#REF!),"")</f>
        <v>#REF!</v>
      </c>
      <c r="Z38" s="63" t="str">
        <f ca="1">IF(AND('Mapa final'!$AA$17="Baja",'Mapa final'!$AC$17="Moderado"),CONCATENATE("R3C",'Mapa final'!$Q$17),"")</f>
        <v/>
      </c>
      <c r="AA38" s="64" t="str">
        <f ca="1">IF(AND('Mapa final'!$AA$18="Baja",'Mapa final'!$AC$18="Moderado"),CONCATENATE("R3C",'Mapa final'!$Q$18),"")</f>
        <v/>
      </c>
      <c r="AB38" s="47" t="e">
        <f>IF(AND('Mapa final'!#REF!="Baja",'Mapa final'!#REF!="Mayor"),CONCATENATE("R3C",'Mapa final'!#REF!),"")</f>
        <v>#REF!</v>
      </c>
      <c r="AC38" s="48" t="e">
        <f>IF(AND('Mapa final'!#REF!="Baja",'Mapa final'!#REF!="Mayor"),CONCATENATE("R3C",'Mapa final'!#REF!),"")</f>
        <v>#REF!</v>
      </c>
      <c r="AD38" s="48" t="e">
        <f>IF(AND('Mapa final'!#REF!="Baja",'Mapa final'!#REF!="Mayor"),CONCATENATE("R3C",'Mapa final'!#REF!),"")</f>
        <v>#REF!</v>
      </c>
      <c r="AE38" s="48" t="e">
        <f>IF(AND('Mapa final'!#REF!="Baja",'Mapa final'!#REF!="Mayor"),CONCATENATE("R3C",'Mapa final'!#REF!),"")</f>
        <v>#REF!</v>
      </c>
      <c r="AF38" s="48" t="str">
        <f ca="1">IF(AND('Mapa final'!$AA$17="Baja",'Mapa final'!$AC$17="Mayor"),CONCATENATE("R3C",'Mapa final'!$Q$17),"")</f>
        <v/>
      </c>
      <c r="AG38" s="49" t="str">
        <f ca="1">IF(AND('Mapa final'!$AA$18="Baja",'Mapa final'!$AC$18="Mayor"),CONCATENATE("R3C",'Mapa final'!$Q$18),"")</f>
        <v/>
      </c>
      <c r="AH38" s="50" t="e">
        <f>IF(AND('Mapa final'!#REF!="Baja",'Mapa final'!#REF!="Catastrófico"),CONCATENATE("R3C",'Mapa final'!#REF!),"")</f>
        <v>#REF!</v>
      </c>
      <c r="AI38" s="51" t="e">
        <f>IF(AND('Mapa final'!#REF!="Baja",'Mapa final'!#REF!="Catastrófico"),CONCATENATE("R3C",'Mapa final'!#REF!),"")</f>
        <v>#REF!</v>
      </c>
      <c r="AJ38" s="51" t="e">
        <f>IF(AND('Mapa final'!#REF!="Baja",'Mapa final'!#REF!="Catastrófico"),CONCATENATE("R3C",'Mapa final'!#REF!),"")</f>
        <v>#REF!</v>
      </c>
      <c r="AK38" s="51" t="e">
        <f>IF(AND('Mapa final'!#REF!="Baja",'Mapa final'!#REF!="Catastrófico"),CONCATENATE("R3C",'Mapa final'!#REF!),"")</f>
        <v>#REF!</v>
      </c>
      <c r="AL38" s="51" t="str">
        <f ca="1">IF(AND('Mapa final'!$AA$17="Baja",'Mapa final'!$AC$17="Catastrófico"),CONCATENATE("R3C",'Mapa final'!$Q$17),"")</f>
        <v/>
      </c>
      <c r="AM38" s="52" t="str">
        <f ca="1">IF(AND('Mapa final'!$AA$18="Baja",'Mapa final'!$AC$18="Catastrófico"),CONCATENATE("R3C",'Mapa final'!$Q$18),"")</f>
        <v/>
      </c>
      <c r="AN38" s="78"/>
      <c r="AO38" s="393"/>
      <c r="AP38" s="394"/>
      <c r="AQ38" s="394"/>
      <c r="AR38" s="394"/>
      <c r="AS38" s="394"/>
      <c r="AT38" s="395"/>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row>
    <row r="39" spans="1:80" ht="15" customHeight="1" x14ac:dyDescent="0.35">
      <c r="A39" s="78"/>
      <c r="B39" s="321"/>
      <c r="C39" s="321"/>
      <c r="D39" s="322"/>
      <c r="E39" s="362"/>
      <c r="F39" s="363"/>
      <c r="G39" s="363"/>
      <c r="H39" s="363"/>
      <c r="I39" s="363"/>
      <c r="J39" s="71" t="str">
        <f>IF(AND('Mapa final'!$AA$19="Baja",'Mapa final'!$AC$19="Leve"),CONCATENATE("R4C",'Mapa final'!$Q$19),"")</f>
        <v/>
      </c>
      <c r="K39" s="72" t="e">
        <f>IF(AND('Mapa final'!#REF!="Baja",'Mapa final'!#REF!="Leve"),CONCATENATE("R4C",'Mapa final'!#REF!),"")</f>
        <v>#REF!</v>
      </c>
      <c r="L39" s="72" t="str">
        <f ca="1">IF(AND('Mapa final'!$AA$21="Baja",'Mapa final'!$AC$21="Leve"),CONCATENATE("R4C",'Mapa final'!$Q$21),"")</f>
        <v/>
      </c>
      <c r="M39" s="72" t="str">
        <f ca="1">IF(AND('Mapa final'!$AA$22="Baja",'Mapa final'!$AC$22="Leve"),CONCATENATE("R4C",'Mapa final'!$Q$22),"")</f>
        <v/>
      </c>
      <c r="N39" s="72" t="e">
        <f>IF(AND('Mapa final'!#REF!="Baja",'Mapa final'!#REF!="Leve"),CONCATENATE("R4C",'Mapa final'!#REF!),"")</f>
        <v>#REF!</v>
      </c>
      <c r="O39" s="73" t="str">
        <f ca="1">IF(AND('Mapa final'!$AA$23="Baja",'Mapa final'!$AC$23="Leve"),CONCATENATE("R4C",'Mapa final'!$Q$23),"")</f>
        <v/>
      </c>
      <c r="P39" s="62" t="str">
        <f>IF(AND('Mapa final'!$AA$19="Baja",'Mapa final'!$AC$19="Menor"),CONCATENATE("R4C",'Mapa final'!$Q$19),"")</f>
        <v/>
      </c>
      <c r="Q39" s="63" t="e">
        <f>IF(AND('Mapa final'!#REF!="Baja",'Mapa final'!#REF!="Menor"),CONCATENATE("R4C",'Mapa final'!#REF!),"")</f>
        <v>#REF!</v>
      </c>
      <c r="R39" s="63" t="str">
        <f ca="1">IF(AND('Mapa final'!$AA$21="Baja",'Mapa final'!$AC$21="Menor"),CONCATENATE("R4C",'Mapa final'!$Q$21),"")</f>
        <v/>
      </c>
      <c r="S39" s="63" t="str">
        <f ca="1">IF(AND('Mapa final'!$AA$22="Baja",'Mapa final'!$AC$22="Menor"),CONCATENATE("R4C",'Mapa final'!$Q$22),"")</f>
        <v/>
      </c>
      <c r="T39" s="63" t="e">
        <f>IF(AND('Mapa final'!#REF!="Baja",'Mapa final'!#REF!="Menor"),CONCATENATE("R4C",'Mapa final'!#REF!),"")</f>
        <v>#REF!</v>
      </c>
      <c r="U39" s="64" t="str">
        <f ca="1">IF(AND('Mapa final'!$AA$23="Baja",'Mapa final'!$AC$23="Menor"),CONCATENATE("R4C",'Mapa final'!$Q$23),"")</f>
        <v/>
      </c>
      <c r="V39" s="62" t="str">
        <f>IF(AND('Mapa final'!$AA$19="Baja",'Mapa final'!$AC$19="Moderado"),CONCATENATE("R4C",'Mapa final'!$Q$19),"")</f>
        <v/>
      </c>
      <c r="W39" s="63" t="e">
        <f>IF(AND('Mapa final'!#REF!="Baja",'Mapa final'!#REF!="Moderado"),CONCATENATE("R4C",'Mapa final'!#REF!),"")</f>
        <v>#REF!</v>
      </c>
      <c r="X39" s="63" t="str">
        <f ca="1">IF(AND('Mapa final'!$AA$21="Baja",'Mapa final'!$AC$21="Moderado"),CONCATENATE("R4C",'Mapa final'!$Q$21),"")</f>
        <v/>
      </c>
      <c r="Y39" s="63" t="str">
        <f ca="1">IF(AND('Mapa final'!$AA$22="Baja",'Mapa final'!$AC$22="Moderado"),CONCATENATE("R4C",'Mapa final'!$Q$22),"")</f>
        <v>R4C1</v>
      </c>
      <c r="Z39" s="63" t="e">
        <f>IF(AND('Mapa final'!#REF!="Baja",'Mapa final'!#REF!="Moderado"),CONCATENATE("R4C",'Mapa final'!#REF!),"")</f>
        <v>#REF!</v>
      </c>
      <c r="AA39" s="64" t="str">
        <f ca="1">IF(AND('Mapa final'!$AA$23="Baja",'Mapa final'!$AC$23="Moderado"),CONCATENATE("R4C",'Mapa final'!$Q$23),"")</f>
        <v/>
      </c>
      <c r="AB39" s="47" t="str">
        <f>IF(AND('Mapa final'!$AA$19="Baja",'Mapa final'!$AC$19="Mayor"),CONCATENATE("R4C",'Mapa final'!$Q$19),"")</f>
        <v/>
      </c>
      <c r="AC39" s="48" t="e">
        <f>IF(AND('Mapa final'!#REF!="Baja",'Mapa final'!#REF!="Mayor"),CONCATENATE("R4C",'Mapa final'!#REF!),"")</f>
        <v>#REF!</v>
      </c>
      <c r="AD39" s="48" t="str">
        <f ca="1">IF(AND('Mapa final'!$AA$21="Baja",'Mapa final'!$AC$21="Mayor"),CONCATENATE("R4C",'Mapa final'!$Q$21),"")</f>
        <v/>
      </c>
      <c r="AE39" s="48" t="str">
        <f ca="1">IF(AND('Mapa final'!$AA$22="Baja",'Mapa final'!$AC$22="Mayor"),CONCATENATE("R4C",'Mapa final'!$Q$22),"")</f>
        <v/>
      </c>
      <c r="AF39" s="48" t="e">
        <f>IF(AND('Mapa final'!#REF!="Baja",'Mapa final'!#REF!="Mayor"),CONCATENATE("R4C",'Mapa final'!#REF!),"")</f>
        <v>#REF!</v>
      </c>
      <c r="AG39" s="49" t="str">
        <f ca="1">IF(AND('Mapa final'!$AA$23="Baja",'Mapa final'!$AC$23="Mayor"),CONCATENATE("R4C",'Mapa final'!$Q$23),"")</f>
        <v/>
      </c>
      <c r="AH39" s="50" t="str">
        <f>IF(AND('Mapa final'!$AA$19="Baja",'Mapa final'!$AC$19="Catastrófico"),CONCATENATE("R4C",'Mapa final'!$Q$19),"")</f>
        <v/>
      </c>
      <c r="AI39" s="51" t="e">
        <f>IF(AND('Mapa final'!#REF!="Baja",'Mapa final'!#REF!="Catastrófico"),CONCATENATE("R4C",'Mapa final'!#REF!),"")</f>
        <v>#REF!</v>
      </c>
      <c r="AJ39" s="51" t="str">
        <f ca="1">IF(AND('Mapa final'!$AA$21="Baja",'Mapa final'!$AC$21="Catastrófico"),CONCATENATE("R4C",'Mapa final'!$Q$21),"")</f>
        <v/>
      </c>
      <c r="AK39" s="51" t="str">
        <f ca="1">IF(AND('Mapa final'!$AA$22="Baja",'Mapa final'!$AC$22="Catastrófico"),CONCATENATE("R4C",'Mapa final'!$Q$22),"")</f>
        <v/>
      </c>
      <c r="AL39" s="51" t="e">
        <f>IF(AND('Mapa final'!#REF!="Baja",'Mapa final'!#REF!="Catastrófico"),CONCATENATE("R4C",'Mapa final'!#REF!),"")</f>
        <v>#REF!</v>
      </c>
      <c r="AM39" s="52" t="str">
        <f ca="1">IF(AND('Mapa final'!$AA$23="Baja",'Mapa final'!$AC$23="Catastrófico"),CONCATENATE("R4C",'Mapa final'!$Q$23),"")</f>
        <v>R4C1</v>
      </c>
      <c r="AN39" s="78"/>
      <c r="AO39" s="393"/>
      <c r="AP39" s="394"/>
      <c r="AQ39" s="394"/>
      <c r="AR39" s="394"/>
      <c r="AS39" s="394"/>
      <c r="AT39" s="395"/>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row>
    <row r="40" spans="1:80" ht="15" customHeight="1" x14ac:dyDescent="0.35">
      <c r="A40" s="78"/>
      <c r="B40" s="321"/>
      <c r="C40" s="321"/>
      <c r="D40" s="322"/>
      <c r="E40" s="362"/>
      <c r="F40" s="363"/>
      <c r="G40" s="363"/>
      <c r="H40" s="363"/>
      <c r="I40" s="363"/>
      <c r="J40" s="71" t="e">
        <f>IF(AND('Mapa final'!#REF!="Baja",'Mapa final'!#REF!="Leve"),CONCATENATE("R5C",'Mapa final'!#REF!),"")</f>
        <v>#REF!</v>
      </c>
      <c r="K40" s="72" t="str">
        <f ca="1">IF(AND('Mapa final'!$AA$24="Baja",'Mapa final'!$AC$24="Leve"),CONCATENATE("R5C",'Mapa final'!$Q$24),"")</f>
        <v/>
      </c>
      <c r="L40" s="72" t="str">
        <f ca="1">IF(AND('Mapa final'!$AA$25="Baja",'Mapa final'!$AC$25="Leve"),CONCATENATE("R5C",'Mapa final'!$Q$25),"")</f>
        <v/>
      </c>
      <c r="M40" s="72" t="str">
        <f ca="1">IF(AND('Mapa final'!$AA$26="Baja",'Mapa final'!$AC$26="Leve"),CONCATENATE("R5C",'Mapa final'!$Q$26),"")</f>
        <v/>
      </c>
      <c r="N40" s="72" t="str">
        <f ca="1">IF(AND('Mapa final'!$AA$27="Baja",'Mapa final'!$AC$27="Leve"),CONCATENATE("R5C",'Mapa final'!$Q$27),"")</f>
        <v/>
      </c>
      <c r="O40" s="73" t="str">
        <f ca="1">IF(AND('Mapa final'!$AA$28="Baja",'Mapa final'!$AC$28="Leve"),CONCATENATE("R5C",'Mapa final'!$Q$28),"")</f>
        <v/>
      </c>
      <c r="P40" s="62" t="e">
        <f>IF(AND('Mapa final'!#REF!="Baja",'Mapa final'!#REF!="Menor"),CONCATENATE("R5C",'Mapa final'!#REF!),"")</f>
        <v>#REF!</v>
      </c>
      <c r="Q40" s="63" t="str">
        <f ca="1">IF(AND('Mapa final'!$AA$24="Baja",'Mapa final'!$AC$24="Menor"),CONCATENATE("R5C",'Mapa final'!$Q$24),"")</f>
        <v/>
      </c>
      <c r="R40" s="63" t="str">
        <f ca="1">IF(AND('Mapa final'!$AA$25="Baja",'Mapa final'!$AC$25="Menor"),CONCATENATE("R5C",'Mapa final'!$Q$25),"")</f>
        <v/>
      </c>
      <c r="S40" s="63" t="str">
        <f ca="1">IF(AND('Mapa final'!$AA$26="Baja",'Mapa final'!$AC$26="Menor"),CONCATENATE("R5C",'Mapa final'!$Q$26),"")</f>
        <v/>
      </c>
      <c r="T40" s="63" t="str">
        <f ca="1">IF(AND('Mapa final'!$AA$27="Baja",'Mapa final'!$AC$27="Menor"),CONCATENATE("R5C",'Mapa final'!$Q$27),"")</f>
        <v/>
      </c>
      <c r="U40" s="64" t="str">
        <f ca="1">IF(AND('Mapa final'!$AA$28="Baja",'Mapa final'!$AC$28="Menor"),CONCATENATE("R5C",'Mapa final'!$Q$28),"")</f>
        <v/>
      </c>
      <c r="V40" s="62" t="e">
        <f>IF(AND('Mapa final'!#REF!="Baja",'Mapa final'!#REF!="Moderado"),CONCATENATE("R5C",'Mapa final'!#REF!),"")</f>
        <v>#REF!</v>
      </c>
      <c r="W40" s="63" t="str">
        <f ca="1">IF(AND('Mapa final'!$AA$24="Baja",'Mapa final'!$AC$24="Moderado"),CONCATENATE("R5C",'Mapa final'!$Q$24),"")</f>
        <v/>
      </c>
      <c r="X40" s="63" t="str">
        <f ca="1">IF(AND('Mapa final'!$AA$25="Baja",'Mapa final'!$AC$25="Moderado"),CONCATENATE("R5C",'Mapa final'!$Q$25),"")</f>
        <v/>
      </c>
      <c r="Y40" s="63" t="str">
        <f ca="1">IF(AND('Mapa final'!$AA$26="Baja",'Mapa final'!$AC$26="Moderado"),CONCATENATE("R5C",'Mapa final'!$Q$26),"")</f>
        <v/>
      </c>
      <c r="Z40" s="63" t="str">
        <f ca="1">IF(AND('Mapa final'!$AA$27="Baja",'Mapa final'!$AC$27="Moderado"),CONCATENATE("R5C",'Mapa final'!$Q$27),"")</f>
        <v/>
      </c>
      <c r="AA40" s="64" t="str">
        <f ca="1">IF(AND('Mapa final'!$AA$28="Baja",'Mapa final'!$AC$28="Moderado"),CONCATENATE("R5C",'Mapa final'!$Q$28),"")</f>
        <v/>
      </c>
      <c r="AB40" s="47" t="e">
        <f>IF(AND('Mapa final'!#REF!="Baja",'Mapa final'!#REF!="Mayor"),CONCATENATE("R5C",'Mapa final'!#REF!),"")</f>
        <v>#REF!</v>
      </c>
      <c r="AC40" s="48" t="str">
        <f ca="1">IF(AND('Mapa final'!$AA$24="Baja",'Mapa final'!$AC$24="Mayor"),CONCATENATE("R5C",'Mapa final'!$Q$24),"")</f>
        <v/>
      </c>
      <c r="AD40" s="48" t="str">
        <f ca="1">IF(AND('Mapa final'!$AA$25="Baja",'Mapa final'!$AC$25="Mayor"),CONCATENATE("R5C",'Mapa final'!$Q$25),"")</f>
        <v/>
      </c>
      <c r="AE40" s="48" t="str">
        <f ca="1">IF(AND('Mapa final'!$AA$26="Baja",'Mapa final'!$AC$26="Mayor"),CONCATENATE("R5C",'Mapa final'!$Q$26),"")</f>
        <v/>
      </c>
      <c r="AF40" s="48" t="str">
        <f ca="1">IF(AND('Mapa final'!$AA$27="Baja",'Mapa final'!$AC$27="Mayor"),CONCATENATE("R5C",'Mapa final'!$Q$27),"")</f>
        <v/>
      </c>
      <c r="AG40" s="49" t="str">
        <f ca="1">IF(AND('Mapa final'!$AA$28="Baja",'Mapa final'!$AC$28="Mayor"),CONCATENATE("R5C",'Mapa final'!$Q$28),"")</f>
        <v/>
      </c>
      <c r="AH40" s="50" t="e">
        <f>IF(AND('Mapa final'!#REF!="Baja",'Mapa final'!#REF!="Catastrófico"),CONCATENATE("R5C",'Mapa final'!#REF!),"")</f>
        <v>#REF!</v>
      </c>
      <c r="AI40" s="51" t="str">
        <f ca="1">IF(AND('Mapa final'!$AA$24="Baja",'Mapa final'!$AC$24="Catastrófico"),CONCATENATE("R5C",'Mapa final'!$Q$24),"")</f>
        <v/>
      </c>
      <c r="AJ40" s="51" t="str">
        <f ca="1">IF(AND('Mapa final'!$AA$25="Baja",'Mapa final'!$AC$25="Catastrófico"),CONCATENATE("R5C",'Mapa final'!$Q$25),"")</f>
        <v/>
      </c>
      <c r="AK40" s="51" t="str">
        <f ca="1">IF(AND('Mapa final'!$AA$26="Baja",'Mapa final'!$AC$26="Catastrófico"),CONCATENATE("R5C",'Mapa final'!$Q$26),"")</f>
        <v/>
      </c>
      <c r="AL40" s="51" t="str">
        <f ca="1">IF(AND('Mapa final'!$AA$27="Baja",'Mapa final'!$AC$27="Catastrófico"),CONCATENATE("R5C",'Mapa final'!$Q$27),"")</f>
        <v/>
      </c>
      <c r="AM40" s="52" t="str">
        <f ca="1">IF(AND('Mapa final'!$AA$28="Baja",'Mapa final'!$AC$28="Catastrófico"),CONCATENATE("R5C",'Mapa final'!$Q$28),"")</f>
        <v/>
      </c>
      <c r="AN40" s="78"/>
      <c r="AO40" s="393"/>
      <c r="AP40" s="394"/>
      <c r="AQ40" s="394"/>
      <c r="AR40" s="394"/>
      <c r="AS40" s="394"/>
      <c r="AT40" s="395"/>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row>
    <row r="41" spans="1:80" ht="15" customHeight="1" x14ac:dyDescent="0.35">
      <c r="A41" s="78"/>
      <c r="B41" s="321"/>
      <c r="C41" s="321"/>
      <c r="D41" s="322"/>
      <c r="E41" s="362"/>
      <c r="F41" s="363"/>
      <c r="G41" s="363"/>
      <c r="H41" s="363"/>
      <c r="I41" s="363"/>
      <c r="J41" s="71" t="str">
        <f>IF(AND('Mapa final'!$AA$29="Baja",'Mapa final'!$AC$29="Leve"),CONCATENATE("R6C",'Mapa final'!$Q$29),"")</f>
        <v/>
      </c>
      <c r="K41" s="72" t="e">
        <f>IF(AND('Mapa final'!#REF!="Baja",'Mapa final'!#REF!="Leve"),CONCATENATE("R6C",'Mapa final'!#REF!),"")</f>
        <v>#REF!</v>
      </c>
      <c r="L41" s="72" t="e">
        <f>IF(AND('Mapa final'!#REF!="Baja",'Mapa final'!#REF!="Leve"),CONCATENATE("R6C",'Mapa final'!#REF!),"")</f>
        <v>#REF!</v>
      </c>
      <c r="M41" s="72" t="str">
        <f ca="1">IF(AND('Mapa final'!$AA$30="Baja",'Mapa final'!$AC$30="Leve"),CONCATENATE("R6C",'Mapa final'!$Q$30),"")</f>
        <v/>
      </c>
      <c r="N41" s="72" t="str">
        <f ca="1">IF(AND('Mapa final'!$AA$32="Baja",'Mapa final'!$AC$32="Leve"),CONCATENATE("R6C",'Mapa final'!$Q$32),"")</f>
        <v/>
      </c>
      <c r="O41" s="73" t="e">
        <f>IF(AND('Mapa final'!#REF!="Baja",'Mapa final'!#REF!="Leve"),CONCATENATE("R6C",'Mapa final'!#REF!),"")</f>
        <v>#REF!</v>
      </c>
      <c r="P41" s="62" t="str">
        <f>IF(AND('Mapa final'!$AA$29="Baja",'Mapa final'!$AC$29="Menor"),CONCATENATE("R6C",'Mapa final'!$Q$29),"")</f>
        <v/>
      </c>
      <c r="Q41" s="63" t="e">
        <f>IF(AND('Mapa final'!#REF!="Baja",'Mapa final'!#REF!="Menor"),CONCATENATE("R6C",'Mapa final'!#REF!),"")</f>
        <v>#REF!</v>
      </c>
      <c r="R41" s="63" t="e">
        <f>IF(AND('Mapa final'!#REF!="Baja",'Mapa final'!#REF!="Menor"),CONCATENATE("R6C",'Mapa final'!#REF!),"")</f>
        <v>#REF!</v>
      </c>
      <c r="S41" s="63" t="str">
        <f ca="1">IF(AND('Mapa final'!$AA$30="Baja",'Mapa final'!$AC$30="Menor"),CONCATENATE("R6C",'Mapa final'!$Q$30),"")</f>
        <v/>
      </c>
      <c r="T41" s="63" t="str">
        <f ca="1">IF(AND('Mapa final'!$AA$32="Baja",'Mapa final'!$AC$32="Menor"),CONCATENATE("R6C",'Mapa final'!$Q$32),"")</f>
        <v/>
      </c>
      <c r="U41" s="64" t="e">
        <f>IF(AND('Mapa final'!#REF!="Baja",'Mapa final'!#REF!="Menor"),CONCATENATE("R6C",'Mapa final'!#REF!),"")</f>
        <v>#REF!</v>
      </c>
      <c r="V41" s="62" t="str">
        <f>IF(AND('Mapa final'!$AA$29="Baja",'Mapa final'!$AC$29="Moderado"),CONCATENATE("R6C",'Mapa final'!$Q$29),"")</f>
        <v>R6C1</v>
      </c>
      <c r="W41" s="63" t="e">
        <f>IF(AND('Mapa final'!#REF!="Baja",'Mapa final'!#REF!="Moderado"),CONCATENATE("R6C",'Mapa final'!#REF!),"")</f>
        <v>#REF!</v>
      </c>
      <c r="X41" s="63" t="e">
        <f>IF(AND('Mapa final'!#REF!="Baja",'Mapa final'!#REF!="Moderado"),CONCATENATE("R6C",'Mapa final'!#REF!),"")</f>
        <v>#REF!</v>
      </c>
      <c r="Y41" s="63" t="str">
        <f ca="1">IF(AND('Mapa final'!$AA$30="Baja",'Mapa final'!$AC$30="Moderado"),CONCATENATE("R6C",'Mapa final'!$Q$30),"")</f>
        <v/>
      </c>
      <c r="Z41" s="63" t="str">
        <f ca="1">IF(AND('Mapa final'!$AA$32="Baja",'Mapa final'!$AC$32="Moderado"),CONCATENATE("R6C",'Mapa final'!$Q$32),"")</f>
        <v>R6C1</v>
      </c>
      <c r="AA41" s="64" t="e">
        <f>IF(AND('Mapa final'!#REF!="Baja",'Mapa final'!#REF!="Moderado"),CONCATENATE("R6C",'Mapa final'!#REF!),"")</f>
        <v>#REF!</v>
      </c>
      <c r="AB41" s="47" t="str">
        <f>IF(AND('Mapa final'!$AA$29="Baja",'Mapa final'!$AC$29="Mayor"),CONCATENATE("R6C",'Mapa final'!$Q$29),"")</f>
        <v/>
      </c>
      <c r="AC41" s="48" t="e">
        <f>IF(AND('Mapa final'!#REF!="Baja",'Mapa final'!#REF!="Mayor"),CONCATENATE("R6C",'Mapa final'!#REF!),"")</f>
        <v>#REF!</v>
      </c>
      <c r="AD41" s="48" t="e">
        <f>IF(AND('Mapa final'!#REF!="Baja",'Mapa final'!#REF!="Mayor"),CONCATENATE("R6C",'Mapa final'!#REF!),"")</f>
        <v>#REF!</v>
      </c>
      <c r="AE41" s="48" t="str">
        <f ca="1">IF(AND('Mapa final'!$AA$30="Baja",'Mapa final'!$AC$30="Mayor"),CONCATENATE("R6C",'Mapa final'!$Q$30),"")</f>
        <v/>
      </c>
      <c r="AF41" s="48" t="str">
        <f ca="1">IF(AND('Mapa final'!$AA$32="Baja",'Mapa final'!$AC$32="Mayor"),CONCATENATE("R6C",'Mapa final'!$Q$32),"")</f>
        <v/>
      </c>
      <c r="AG41" s="49" t="e">
        <f>IF(AND('Mapa final'!#REF!="Baja",'Mapa final'!#REF!="Mayor"),CONCATENATE("R6C",'Mapa final'!#REF!),"")</f>
        <v>#REF!</v>
      </c>
      <c r="AH41" s="50" t="str">
        <f>IF(AND('Mapa final'!$AA$29="Baja",'Mapa final'!$AC$29="Catastrófico"),CONCATENATE("R6C",'Mapa final'!$Q$29),"")</f>
        <v/>
      </c>
      <c r="AI41" s="51" t="e">
        <f>IF(AND('Mapa final'!#REF!="Baja",'Mapa final'!#REF!="Catastrófico"),CONCATENATE("R6C",'Mapa final'!#REF!),"")</f>
        <v>#REF!</v>
      </c>
      <c r="AJ41" s="51" t="e">
        <f>IF(AND('Mapa final'!#REF!="Baja",'Mapa final'!#REF!="Catastrófico"),CONCATENATE("R6C",'Mapa final'!#REF!),"")</f>
        <v>#REF!</v>
      </c>
      <c r="AK41" s="51" t="str">
        <f ca="1">IF(AND('Mapa final'!$AA$30="Baja",'Mapa final'!$AC$30="Catastrófico"),CONCATENATE("R6C",'Mapa final'!$Q$30),"")</f>
        <v/>
      </c>
      <c r="AL41" s="51" t="str">
        <f ca="1">IF(AND('Mapa final'!$AA$32="Baja",'Mapa final'!$AC$32="Catastrófico"),CONCATENATE("R6C",'Mapa final'!$Q$32),"")</f>
        <v/>
      </c>
      <c r="AM41" s="52" t="e">
        <f>IF(AND('Mapa final'!#REF!="Baja",'Mapa final'!#REF!="Catastrófico"),CONCATENATE("R6C",'Mapa final'!#REF!),"")</f>
        <v>#REF!</v>
      </c>
      <c r="AN41" s="78"/>
      <c r="AO41" s="393"/>
      <c r="AP41" s="394"/>
      <c r="AQ41" s="394"/>
      <c r="AR41" s="394"/>
      <c r="AS41" s="394"/>
      <c r="AT41" s="395"/>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row>
    <row r="42" spans="1:80" ht="15" customHeight="1" x14ac:dyDescent="0.35">
      <c r="A42" s="78"/>
      <c r="B42" s="321"/>
      <c r="C42" s="321"/>
      <c r="D42" s="322"/>
      <c r="E42" s="362"/>
      <c r="F42" s="363"/>
      <c r="G42" s="363"/>
      <c r="H42" s="363"/>
      <c r="I42" s="363"/>
      <c r="J42" s="71" t="e">
        <f>IF(AND('Mapa final'!#REF!="Baja",'Mapa final'!#REF!="Leve"),CONCATENATE("R7C",'Mapa final'!#REF!),"")</f>
        <v>#REF!</v>
      </c>
      <c r="K42" s="72" t="str">
        <f ca="1">IF(AND('Mapa final'!$AA$34="Baja",'Mapa final'!$AC$34="Leve"),CONCATENATE("R7C",'Mapa final'!$Q$34),"")</f>
        <v/>
      </c>
      <c r="L42" s="72" t="str">
        <f ca="1">IF(AND('Mapa final'!$AA$35="Baja",'Mapa final'!$AC$35="Leve"),CONCATENATE("R7C",'Mapa final'!$Q$35),"")</f>
        <v/>
      </c>
      <c r="M42" s="72" t="e">
        <f>IF(AND('Mapa final'!#REF!="Baja",'Mapa final'!#REF!="Leve"),CONCATENATE("R7C",'Mapa final'!#REF!),"")</f>
        <v>#REF!</v>
      </c>
      <c r="N42" s="72" t="e">
        <f>IF(AND('Mapa final'!#REF!="Baja",'Mapa final'!#REF!="Leve"),CONCATENATE("R7C",'Mapa final'!#REF!),"")</f>
        <v>#REF!</v>
      </c>
      <c r="O42" s="73" t="e">
        <f>IF(AND('Mapa final'!#REF!="Baja",'Mapa final'!#REF!="Leve"),CONCATENATE("R7C",'Mapa final'!#REF!),"")</f>
        <v>#REF!</v>
      </c>
      <c r="P42" s="62" t="e">
        <f>IF(AND('Mapa final'!#REF!="Baja",'Mapa final'!#REF!="Menor"),CONCATENATE("R7C",'Mapa final'!#REF!),"")</f>
        <v>#REF!</v>
      </c>
      <c r="Q42" s="63" t="str">
        <f ca="1">IF(AND('Mapa final'!$AA$34="Baja",'Mapa final'!$AC$34="Menor"),CONCATENATE("R7C",'Mapa final'!$Q$34),"")</f>
        <v/>
      </c>
      <c r="R42" s="63" t="str">
        <f ca="1">IF(AND('Mapa final'!$AA$35="Baja",'Mapa final'!$AC$35="Menor"),CONCATENATE("R7C",'Mapa final'!$Q$35),"")</f>
        <v/>
      </c>
      <c r="S42" s="63" t="e">
        <f>IF(AND('Mapa final'!#REF!="Baja",'Mapa final'!#REF!="Menor"),CONCATENATE("R7C",'Mapa final'!#REF!),"")</f>
        <v>#REF!</v>
      </c>
      <c r="T42" s="63" t="e">
        <f>IF(AND('Mapa final'!#REF!="Baja",'Mapa final'!#REF!="Menor"),CONCATENATE("R7C",'Mapa final'!#REF!),"")</f>
        <v>#REF!</v>
      </c>
      <c r="U42" s="64" t="e">
        <f>IF(AND('Mapa final'!#REF!="Baja",'Mapa final'!#REF!="Menor"),CONCATENATE("R7C",'Mapa final'!#REF!),"")</f>
        <v>#REF!</v>
      </c>
      <c r="V42" s="62" t="e">
        <f>IF(AND('Mapa final'!#REF!="Baja",'Mapa final'!#REF!="Moderado"),CONCATENATE("R7C",'Mapa final'!#REF!),"")</f>
        <v>#REF!</v>
      </c>
      <c r="W42" s="63" t="str">
        <f ca="1">IF(AND('Mapa final'!$AA$34="Baja",'Mapa final'!$AC$34="Moderado"),CONCATENATE("R7C",'Mapa final'!$Q$34),"")</f>
        <v/>
      </c>
      <c r="X42" s="63" t="str">
        <f ca="1">IF(AND('Mapa final'!$AA$35="Baja",'Mapa final'!$AC$35="Moderado"),CONCATENATE("R7C",'Mapa final'!$Q$35),"")</f>
        <v>R7C1</v>
      </c>
      <c r="Y42" s="63" t="e">
        <f>IF(AND('Mapa final'!#REF!="Baja",'Mapa final'!#REF!="Moderado"),CONCATENATE("R7C",'Mapa final'!#REF!),"")</f>
        <v>#REF!</v>
      </c>
      <c r="Z42" s="63" t="e">
        <f>IF(AND('Mapa final'!#REF!="Baja",'Mapa final'!#REF!="Moderado"),CONCATENATE("R7C",'Mapa final'!#REF!),"")</f>
        <v>#REF!</v>
      </c>
      <c r="AA42" s="64" t="e">
        <f>IF(AND('Mapa final'!#REF!="Baja",'Mapa final'!#REF!="Moderado"),CONCATENATE("R7C",'Mapa final'!#REF!),"")</f>
        <v>#REF!</v>
      </c>
      <c r="AB42" s="47" t="e">
        <f>IF(AND('Mapa final'!#REF!="Baja",'Mapa final'!#REF!="Mayor"),CONCATENATE("R7C",'Mapa final'!#REF!),"")</f>
        <v>#REF!</v>
      </c>
      <c r="AC42" s="48" t="str">
        <f ca="1">IF(AND('Mapa final'!$AA$34="Baja",'Mapa final'!$AC$34="Mayor"),CONCATENATE("R7C",'Mapa final'!$Q$34),"")</f>
        <v/>
      </c>
      <c r="AD42" s="48" t="str">
        <f ca="1">IF(AND('Mapa final'!$AA$35="Baja",'Mapa final'!$AC$35="Mayor"),CONCATENATE("R7C",'Mapa final'!$Q$35),"")</f>
        <v/>
      </c>
      <c r="AE42" s="48" t="e">
        <f>IF(AND('Mapa final'!#REF!="Baja",'Mapa final'!#REF!="Mayor"),CONCATENATE("R7C",'Mapa final'!#REF!),"")</f>
        <v>#REF!</v>
      </c>
      <c r="AF42" s="48" t="e">
        <f>IF(AND('Mapa final'!#REF!="Baja",'Mapa final'!#REF!="Mayor"),CONCATENATE("R7C",'Mapa final'!#REF!),"")</f>
        <v>#REF!</v>
      </c>
      <c r="AG42" s="49" t="e">
        <f>IF(AND('Mapa final'!#REF!="Baja",'Mapa final'!#REF!="Mayor"),CONCATENATE("R7C",'Mapa final'!#REF!),"")</f>
        <v>#REF!</v>
      </c>
      <c r="AH42" s="50" t="e">
        <f>IF(AND('Mapa final'!#REF!="Baja",'Mapa final'!#REF!="Catastrófico"),CONCATENATE("R7C",'Mapa final'!#REF!),"")</f>
        <v>#REF!</v>
      </c>
      <c r="AI42" s="51" t="str">
        <f ca="1">IF(AND('Mapa final'!$AA$34="Baja",'Mapa final'!$AC$34="Catastrófico"),CONCATENATE("R7C",'Mapa final'!$Q$34),"")</f>
        <v/>
      </c>
      <c r="AJ42" s="51" t="str">
        <f ca="1">IF(AND('Mapa final'!$AA$35="Baja",'Mapa final'!$AC$35="Catastrófico"),CONCATENATE("R7C",'Mapa final'!$Q$35),"")</f>
        <v/>
      </c>
      <c r="AK42" s="51" t="e">
        <f>IF(AND('Mapa final'!#REF!="Baja",'Mapa final'!#REF!="Catastrófico"),CONCATENATE("R7C",'Mapa final'!#REF!),"")</f>
        <v>#REF!</v>
      </c>
      <c r="AL42" s="51" t="e">
        <f>IF(AND('Mapa final'!#REF!="Baja",'Mapa final'!#REF!="Catastrófico"),CONCATENATE("R7C",'Mapa final'!#REF!),"")</f>
        <v>#REF!</v>
      </c>
      <c r="AM42" s="52" t="e">
        <f>IF(AND('Mapa final'!#REF!="Baja",'Mapa final'!#REF!="Catastrófico"),CONCATENATE("R7C",'Mapa final'!#REF!),"")</f>
        <v>#REF!</v>
      </c>
      <c r="AN42" s="78"/>
      <c r="AO42" s="393"/>
      <c r="AP42" s="394"/>
      <c r="AQ42" s="394"/>
      <c r="AR42" s="394"/>
      <c r="AS42" s="394"/>
      <c r="AT42" s="395"/>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row>
    <row r="43" spans="1:80" ht="15" customHeight="1" x14ac:dyDescent="0.35">
      <c r="A43" s="78"/>
      <c r="B43" s="321"/>
      <c r="C43" s="321"/>
      <c r="D43" s="322"/>
      <c r="E43" s="362"/>
      <c r="F43" s="363"/>
      <c r="G43" s="363"/>
      <c r="H43" s="363"/>
      <c r="I43" s="363"/>
      <c r="J43" s="71" t="e">
        <f>IF(AND('Mapa final'!#REF!="Baja",'Mapa final'!#REF!="Leve"),CONCATENATE("R8C",'Mapa final'!#REF!),"")</f>
        <v>#REF!</v>
      </c>
      <c r="K43" s="72" t="e">
        <f>IF(AND('Mapa final'!#REF!="Baja",'Mapa final'!#REF!="Leve"),CONCATENATE("R8C",'Mapa final'!#REF!),"")</f>
        <v>#REF!</v>
      </c>
      <c r="L43" s="72" t="str">
        <f ca="1">IF(AND('Mapa final'!$AA$36="Baja",'Mapa final'!$AC$36="Leve"),CONCATENATE("R8C",'Mapa final'!$Q$36),"")</f>
        <v/>
      </c>
      <c r="M43" s="72" t="str">
        <f ca="1">IF(AND('Mapa final'!$AA$37="Baja",'Mapa final'!$AC$37="Leve"),CONCATENATE("R8C",'Mapa final'!$Q$37),"")</f>
        <v/>
      </c>
      <c r="N43" s="72" t="e">
        <f>IF(AND('Mapa final'!#REF!="Baja",'Mapa final'!#REF!="Leve"),CONCATENATE("R8C",'Mapa final'!#REF!),"")</f>
        <v>#REF!</v>
      </c>
      <c r="O43" s="73" t="e">
        <f>IF(AND('Mapa final'!#REF!="Baja",'Mapa final'!#REF!="Leve"),CONCATENATE("R8C",'Mapa final'!#REF!),"")</f>
        <v>#REF!</v>
      </c>
      <c r="P43" s="62" t="e">
        <f>IF(AND('Mapa final'!#REF!="Baja",'Mapa final'!#REF!="Menor"),CONCATENATE("R8C",'Mapa final'!#REF!),"")</f>
        <v>#REF!</v>
      </c>
      <c r="Q43" s="63" t="e">
        <f>IF(AND('Mapa final'!#REF!="Baja",'Mapa final'!#REF!="Menor"),CONCATENATE("R8C",'Mapa final'!#REF!),"")</f>
        <v>#REF!</v>
      </c>
      <c r="R43" s="63" t="str">
        <f ca="1">IF(AND('Mapa final'!$AA$36="Baja",'Mapa final'!$AC$36="Menor"),CONCATENATE("R8C",'Mapa final'!$Q$36),"")</f>
        <v/>
      </c>
      <c r="S43" s="63" t="str">
        <f ca="1">IF(AND('Mapa final'!$AA$37="Baja",'Mapa final'!$AC$37="Menor"),CONCATENATE("R8C",'Mapa final'!$Q$37),"")</f>
        <v/>
      </c>
      <c r="T43" s="63" t="e">
        <f>IF(AND('Mapa final'!#REF!="Baja",'Mapa final'!#REF!="Menor"),CONCATENATE("R8C",'Mapa final'!#REF!),"")</f>
        <v>#REF!</v>
      </c>
      <c r="U43" s="64" t="e">
        <f>IF(AND('Mapa final'!#REF!="Baja",'Mapa final'!#REF!="Menor"),CONCATENATE("R8C",'Mapa final'!#REF!),"")</f>
        <v>#REF!</v>
      </c>
      <c r="V43" s="62" t="e">
        <f>IF(AND('Mapa final'!#REF!="Baja",'Mapa final'!#REF!="Moderado"),CONCATENATE("R8C",'Mapa final'!#REF!),"")</f>
        <v>#REF!</v>
      </c>
      <c r="W43" s="63" t="e">
        <f>IF(AND('Mapa final'!#REF!="Baja",'Mapa final'!#REF!="Moderado"),CONCATENATE("R8C",'Mapa final'!#REF!),"")</f>
        <v>#REF!</v>
      </c>
      <c r="X43" s="63" t="str">
        <f ca="1">IF(AND('Mapa final'!$AA$36="Baja",'Mapa final'!$AC$36="Moderado"),CONCATENATE("R8C",'Mapa final'!$Q$36),"")</f>
        <v>R8C1</v>
      </c>
      <c r="Y43" s="63" t="str">
        <f ca="1">IF(AND('Mapa final'!$AA$37="Baja",'Mapa final'!$AC$37="Moderado"),CONCATENATE("R8C",'Mapa final'!$Q$37),"")</f>
        <v/>
      </c>
      <c r="Z43" s="63" t="e">
        <f>IF(AND('Mapa final'!#REF!="Baja",'Mapa final'!#REF!="Moderado"),CONCATENATE("R8C",'Mapa final'!#REF!),"")</f>
        <v>#REF!</v>
      </c>
      <c r="AA43" s="64" t="e">
        <f>IF(AND('Mapa final'!#REF!="Baja",'Mapa final'!#REF!="Moderado"),CONCATENATE("R8C",'Mapa final'!#REF!),"")</f>
        <v>#REF!</v>
      </c>
      <c r="AB43" s="47" t="e">
        <f>IF(AND('Mapa final'!#REF!="Baja",'Mapa final'!#REF!="Mayor"),CONCATENATE("R8C",'Mapa final'!#REF!),"")</f>
        <v>#REF!</v>
      </c>
      <c r="AC43" s="48" t="e">
        <f>IF(AND('Mapa final'!#REF!="Baja",'Mapa final'!#REF!="Mayor"),CONCATENATE("R8C",'Mapa final'!#REF!),"")</f>
        <v>#REF!</v>
      </c>
      <c r="AD43" s="48" t="str">
        <f ca="1">IF(AND('Mapa final'!$AA$36="Baja",'Mapa final'!$AC$36="Mayor"),CONCATENATE("R8C",'Mapa final'!$Q$36),"")</f>
        <v/>
      </c>
      <c r="AE43" s="48" t="str">
        <f ca="1">IF(AND('Mapa final'!$AA$37="Baja",'Mapa final'!$AC$37="Mayor"),CONCATENATE("R8C",'Mapa final'!$Q$37),"")</f>
        <v/>
      </c>
      <c r="AF43" s="48" t="e">
        <f>IF(AND('Mapa final'!#REF!="Baja",'Mapa final'!#REF!="Mayor"),CONCATENATE("R8C",'Mapa final'!#REF!),"")</f>
        <v>#REF!</v>
      </c>
      <c r="AG43" s="49" t="e">
        <f>IF(AND('Mapa final'!#REF!="Baja",'Mapa final'!#REF!="Mayor"),CONCATENATE("R8C",'Mapa final'!#REF!),"")</f>
        <v>#REF!</v>
      </c>
      <c r="AH43" s="50" t="e">
        <f>IF(AND('Mapa final'!#REF!="Baja",'Mapa final'!#REF!="Catastrófico"),CONCATENATE("R8C",'Mapa final'!#REF!),"")</f>
        <v>#REF!</v>
      </c>
      <c r="AI43" s="51" t="e">
        <f>IF(AND('Mapa final'!#REF!="Baja",'Mapa final'!#REF!="Catastrófico"),CONCATENATE("R8C",'Mapa final'!#REF!),"")</f>
        <v>#REF!</v>
      </c>
      <c r="AJ43" s="51" t="str">
        <f ca="1">IF(AND('Mapa final'!$AA$36="Baja",'Mapa final'!$AC$36="Catastrófico"),CONCATENATE("R8C",'Mapa final'!$Q$36),"")</f>
        <v/>
      </c>
      <c r="AK43" s="51" t="str">
        <f ca="1">IF(AND('Mapa final'!$AA$37="Baja",'Mapa final'!$AC$37="Catastrófico"),CONCATENATE("R8C",'Mapa final'!$Q$37),"")</f>
        <v/>
      </c>
      <c r="AL43" s="51" t="e">
        <f>IF(AND('Mapa final'!#REF!="Baja",'Mapa final'!#REF!="Catastrófico"),CONCATENATE("R8C",'Mapa final'!#REF!),"")</f>
        <v>#REF!</v>
      </c>
      <c r="AM43" s="52" t="e">
        <f>IF(AND('Mapa final'!#REF!="Baja",'Mapa final'!#REF!="Catastrófico"),CONCATENATE("R8C",'Mapa final'!#REF!),"")</f>
        <v>#REF!</v>
      </c>
      <c r="AN43" s="78"/>
      <c r="AO43" s="393"/>
      <c r="AP43" s="394"/>
      <c r="AQ43" s="394"/>
      <c r="AR43" s="394"/>
      <c r="AS43" s="394"/>
      <c r="AT43" s="395"/>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row>
    <row r="44" spans="1:80" ht="15" customHeight="1" x14ac:dyDescent="0.35">
      <c r="A44" s="78"/>
      <c r="B44" s="321"/>
      <c r="C44" s="321"/>
      <c r="D44" s="322"/>
      <c r="E44" s="362"/>
      <c r="F44" s="363"/>
      <c r="G44" s="363"/>
      <c r="H44" s="363"/>
      <c r="I44" s="363"/>
      <c r="J44" s="71" t="str">
        <f>IF(AND('Mapa final'!$AA$38="Baja",'Mapa final'!$AC$38="Leve"),CONCATENATE("R9C",'Mapa final'!$Q$38),"")</f>
        <v/>
      </c>
      <c r="K44" s="72" t="str">
        <f ca="1">IF(AND('Mapa final'!$AA$39="Baja",'Mapa final'!$AC$39="Leve"),CONCATENATE("R9C",'Mapa final'!$Q$39),"")</f>
        <v/>
      </c>
      <c r="L44" s="72" t="e">
        <f>IF(AND('Mapa final'!#REF!="Baja",'Mapa final'!#REF!="Leve"),CONCATENATE("R9C",'Mapa final'!#REF!),"")</f>
        <v>#REF!</v>
      </c>
      <c r="M44" s="72" t="str">
        <f ca="1">IF(AND('Mapa final'!$AA$40="Baja",'Mapa final'!$AC$40="Leve"),CONCATENATE("R9C",'Mapa final'!$Q$40),"")</f>
        <v/>
      </c>
      <c r="N44" s="72" t="str">
        <f ca="1">IF(AND('Mapa final'!$AA$42="Baja",'Mapa final'!$AC$42="Leve"),CONCATENATE("R9C",'Mapa final'!$Q$42),"")</f>
        <v/>
      </c>
      <c r="O44" s="73" t="str">
        <f ca="1">IF(AND('Mapa final'!$AA$43="Baja",'Mapa final'!$AC$43="Leve"),CONCATENATE("R9C",'Mapa final'!$Q$43),"")</f>
        <v/>
      </c>
      <c r="P44" s="62" t="str">
        <f>IF(AND('Mapa final'!$AA$38="Baja",'Mapa final'!$AC$38="Menor"),CONCATENATE("R9C",'Mapa final'!$Q$38),"")</f>
        <v/>
      </c>
      <c r="Q44" s="63" t="str">
        <f ca="1">IF(AND('Mapa final'!$AA$39="Baja",'Mapa final'!$AC$39="Menor"),CONCATENATE("R9C",'Mapa final'!$Q$39),"")</f>
        <v/>
      </c>
      <c r="R44" s="63" t="e">
        <f>IF(AND('Mapa final'!#REF!="Baja",'Mapa final'!#REF!="Menor"),CONCATENATE("R9C",'Mapa final'!#REF!),"")</f>
        <v>#REF!</v>
      </c>
      <c r="S44" s="63" t="str">
        <f ca="1">IF(AND('Mapa final'!$AA$40="Baja",'Mapa final'!$AC$40="Menor"),CONCATENATE("R9C",'Mapa final'!$Q$40),"")</f>
        <v/>
      </c>
      <c r="T44" s="63" t="str">
        <f ca="1">IF(AND('Mapa final'!$AA$42="Baja",'Mapa final'!$AC$42="Menor"),CONCATENATE("R9C",'Mapa final'!$Q$42),"")</f>
        <v>R9C1</v>
      </c>
      <c r="U44" s="64" t="str">
        <f ca="1">IF(AND('Mapa final'!$AA$43="Baja",'Mapa final'!$AC$43="Menor"),CONCATENATE("R9C",'Mapa final'!$Q$43),"")</f>
        <v/>
      </c>
      <c r="V44" s="62" t="str">
        <f>IF(AND('Mapa final'!$AA$38="Baja",'Mapa final'!$AC$38="Moderado"),CONCATENATE("R9C",'Mapa final'!$Q$38),"")</f>
        <v>R9C1</v>
      </c>
      <c r="W44" s="63" t="str">
        <f ca="1">IF(AND('Mapa final'!$AA$39="Baja",'Mapa final'!$AC$39="Moderado"),CONCATENATE("R9C",'Mapa final'!$Q$39),"")</f>
        <v>R9C1</v>
      </c>
      <c r="X44" s="63" t="e">
        <f>IF(AND('Mapa final'!#REF!="Baja",'Mapa final'!#REF!="Moderado"),CONCATENATE("R9C",'Mapa final'!#REF!),"")</f>
        <v>#REF!</v>
      </c>
      <c r="Y44" s="63" t="str">
        <f ca="1">IF(AND('Mapa final'!$AA$40="Baja",'Mapa final'!$AC$40="Moderado"),CONCATENATE("R9C",'Mapa final'!$Q$40),"")</f>
        <v>R9C1</v>
      </c>
      <c r="Z44" s="63" t="str">
        <f ca="1">IF(AND('Mapa final'!$AA$42="Baja",'Mapa final'!$AC$42="Moderado"),CONCATENATE("R9C",'Mapa final'!$Q$42),"")</f>
        <v/>
      </c>
      <c r="AA44" s="64" t="str">
        <f ca="1">IF(AND('Mapa final'!$AA$43="Baja",'Mapa final'!$AC$43="Moderado"),CONCATENATE("R9C",'Mapa final'!$Q$43),"")</f>
        <v>R9C1</v>
      </c>
      <c r="AB44" s="47" t="str">
        <f>IF(AND('Mapa final'!$AA$38="Baja",'Mapa final'!$AC$38="Mayor"),CONCATENATE("R9C",'Mapa final'!$Q$38),"")</f>
        <v/>
      </c>
      <c r="AC44" s="48" t="str">
        <f ca="1">IF(AND('Mapa final'!$AA$39="Baja",'Mapa final'!$AC$39="Mayor"),CONCATENATE("R9C",'Mapa final'!$Q$39),"")</f>
        <v/>
      </c>
      <c r="AD44" s="48" t="e">
        <f>IF(AND('Mapa final'!#REF!="Baja",'Mapa final'!#REF!="Mayor"),CONCATENATE("R9C",'Mapa final'!#REF!),"")</f>
        <v>#REF!</v>
      </c>
      <c r="AE44" s="48" t="str">
        <f ca="1">IF(AND('Mapa final'!$AA$40="Baja",'Mapa final'!$AC$40="Mayor"),CONCATENATE("R9C",'Mapa final'!$Q$40),"")</f>
        <v/>
      </c>
      <c r="AF44" s="48" t="str">
        <f ca="1">IF(AND('Mapa final'!$AA$42="Baja",'Mapa final'!$AC$42="Mayor"),CONCATENATE("R9C",'Mapa final'!$Q$42),"")</f>
        <v/>
      </c>
      <c r="AG44" s="49" t="str">
        <f ca="1">IF(AND('Mapa final'!$AA$43="Baja",'Mapa final'!$AC$43="Mayor"),CONCATENATE("R9C",'Mapa final'!$Q$43),"")</f>
        <v/>
      </c>
      <c r="AH44" s="50" t="str">
        <f>IF(AND('Mapa final'!$AA$38="Baja",'Mapa final'!$AC$38="Catastrófico"),CONCATENATE("R9C",'Mapa final'!$Q$38),"")</f>
        <v/>
      </c>
      <c r="AI44" s="51" t="str">
        <f ca="1">IF(AND('Mapa final'!$AA$39="Baja",'Mapa final'!$AC$39="Catastrófico"),CONCATENATE("R9C",'Mapa final'!$Q$39),"")</f>
        <v/>
      </c>
      <c r="AJ44" s="51" t="e">
        <f>IF(AND('Mapa final'!#REF!="Baja",'Mapa final'!#REF!="Catastrófico"),CONCATENATE("R9C",'Mapa final'!#REF!),"")</f>
        <v>#REF!</v>
      </c>
      <c r="AK44" s="51" t="str">
        <f ca="1">IF(AND('Mapa final'!$AA$40="Baja",'Mapa final'!$AC$40="Catastrófico"),CONCATENATE("R9C",'Mapa final'!$Q$40),"")</f>
        <v/>
      </c>
      <c r="AL44" s="51" t="str">
        <f ca="1">IF(AND('Mapa final'!$AA$42="Baja",'Mapa final'!$AC$42="Catastrófico"),CONCATENATE("R9C",'Mapa final'!$Q$42),"")</f>
        <v/>
      </c>
      <c r="AM44" s="52" t="str">
        <f ca="1">IF(AND('Mapa final'!$AA$43="Baja",'Mapa final'!$AC$43="Catastrófico"),CONCATENATE("R9C",'Mapa final'!$Q$43),"")</f>
        <v/>
      </c>
      <c r="AN44" s="78"/>
      <c r="AO44" s="393"/>
      <c r="AP44" s="394"/>
      <c r="AQ44" s="394"/>
      <c r="AR44" s="394"/>
      <c r="AS44" s="394"/>
      <c r="AT44" s="395"/>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row>
    <row r="45" spans="1:80" ht="15.75" customHeight="1" thickBot="1" x14ac:dyDescent="0.4">
      <c r="A45" s="78"/>
      <c r="B45" s="321"/>
      <c r="C45" s="321"/>
      <c r="D45" s="322"/>
      <c r="E45" s="365"/>
      <c r="F45" s="366"/>
      <c r="G45" s="366"/>
      <c r="H45" s="366"/>
      <c r="I45" s="366"/>
      <c r="J45" s="74" t="e">
        <f>IF(AND('Mapa final'!#REF!="Baja",'Mapa final'!#REF!="Leve"),CONCATENATE("R10C",'Mapa final'!#REF!),"")</f>
        <v>#REF!</v>
      </c>
      <c r="K45" s="75" t="str">
        <f ca="1">IF(AND('Mapa final'!$AA$44="Baja",'Mapa final'!$AC$44="Leve"),CONCATENATE("R10C",'Mapa final'!$Q$44),"")</f>
        <v/>
      </c>
      <c r="L45" s="75" t="e">
        <f>IF(AND('Mapa final'!#REF!="Baja",'Mapa final'!#REF!="Leve"),CONCATENATE("R10C",'Mapa final'!#REF!),"")</f>
        <v>#REF!</v>
      </c>
      <c r="M45" s="75" t="e">
        <f>IF(AND('Mapa final'!#REF!="Baja",'Mapa final'!#REF!="Leve"),CONCATENATE("R10C",'Mapa final'!#REF!),"")</f>
        <v>#REF!</v>
      </c>
      <c r="N45" s="75" t="e">
        <f>IF(AND('Mapa final'!#REF!="Baja",'Mapa final'!#REF!="Leve"),CONCATENATE("R10C",'Mapa final'!#REF!),"")</f>
        <v>#REF!</v>
      </c>
      <c r="O45" s="76" t="e">
        <f>IF(AND('Mapa final'!#REF!="Baja",'Mapa final'!#REF!="Leve"),CONCATENATE("R10C",'Mapa final'!#REF!),"")</f>
        <v>#REF!</v>
      </c>
      <c r="P45" s="62" t="e">
        <f>IF(AND('Mapa final'!#REF!="Baja",'Mapa final'!#REF!="Menor"),CONCATENATE("R10C",'Mapa final'!#REF!),"")</f>
        <v>#REF!</v>
      </c>
      <c r="Q45" s="63" t="str">
        <f ca="1">IF(AND('Mapa final'!$AA$44="Baja",'Mapa final'!$AC$44="Menor"),CONCATENATE("R10C",'Mapa final'!$Q$44),"")</f>
        <v/>
      </c>
      <c r="R45" s="63" t="e">
        <f>IF(AND('Mapa final'!#REF!="Baja",'Mapa final'!#REF!="Menor"),CONCATENATE("R10C",'Mapa final'!#REF!),"")</f>
        <v>#REF!</v>
      </c>
      <c r="S45" s="63" t="e">
        <f>IF(AND('Mapa final'!#REF!="Baja",'Mapa final'!#REF!="Menor"),CONCATENATE("R10C",'Mapa final'!#REF!),"")</f>
        <v>#REF!</v>
      </c>
      <c r="T45" s="63" t="e">
        <f>IF(AND('Mapa final'!#REF!="Baja",'Mapa final'!#REF!="Menor"),CONCATENATE("R10C",'Mapa final'!#REF!),"")</f>
        <v>#REF!</v>
      </c>
      <c r="U45" s="64" t="e">
        <f>IF(AND('Mapa final'!#REF!="Baja",'Mapa final'!#REF!="Menor"),CONCATENATE("R10C",'Mapa final'!#REF!),"")</f>
        <v>#REF!</v>
      </c>
      <c r="V45" s="65" t="e">
        <f>IF(AND('Mapa final'!#REF!="Baja",'Mapa final'!#REF!="Moderado"),CONCATENATE("R10C",'Mapa final'!#REF!),"")</f>
        <v>#REF!</v>
      </c>
      <c r="W45" s="66" t="str">
        <f ca="1">IF(AND('Mapa final'!$AA$44="Baja",'Mapa final'!$AC$44="Moderado"),CONCATENATE("R10C",'Mapa final'!$Q$44),"")</f>
        <v>R10C1</v>
      </c>
      <c r="X45" s="66" t="e">
        <f>IF(AND('Mapa final'!#REF!="Baja",'Mapa final'!#REF!="Moderado"),CONCATENATE("R10C",'Mapa final'!#REF!),"")</f>
        <v>#REF!</v>
      </c>
      <c r="Y45" s="66" t="e">
        <f>IF(AND('Mapa final'!#REF!="Baja",'Mapa final'!#REF!="Moderado"),CONCATENATE("R10C",'Mapa final'!#REF!),"")</f>
        <v>#REF!</v>
      </c>
      <c r="Z45" s="66" t="e">
        <f>IF(AND('Mapa final'!#REF!="Baja",'Mapa final'!#REF!="Moderado"),CONCATENATE("R10C",'Mapa final'!#REF!),"")</f>
        <v>#REF!</v>
      </c>
      <c r="AA45" s="67" t="e">
        <f>IF(AND('Mapa final'!#REF!="Baja",'Mapa final'!#REF!="Moderado"),CONCATENATE("R10C",'Mapa final'!#REF!),"")</f>
        <v>#REF!</v>
      </c>
      <c r="AB45" s="53" t="e">
        <f>IF(AND('Mapa final'!#REF!="Baja",'Mapa final'!#REF!="Mayor"),CONCATENATE("R10C",'Mapa final'!#REF!),"")</f>
        <v>#REF!</v>
      </c>
      <c r="AC45" s="54" t="str">
        <f ca="1">IF(AND('Mapa final'!$AA$44="Baja",'Mapa final'!$AC$44="Mayor"),CONCATENATE("R10C",'Mapa final'!$Q$44),"")</f>
        <v/>
      </c>
      <c r="AD45" s="54" t="e">
        <f>IF(AND('Mapa final'!#REF!="Baja",'Mapa final'!#REF!="Mayor"),CONCATENATE("R10C",'Mapa final'!#REF!),"")</f>
        <v>#REF!</v>
      </c>
      <c r="AE45" s="54" t="e">
        <f>IF(AND('Mapa final'!#REF!="Baja",'Mapa final'!#REF!="Mayor"),CONCATENATE("R10C",'Mapa final'!#REF!),"")</f>
        <v>#REF!</v>
      </c>
      <c r="AF45" s="54" t="e">
        <f>IF(AND('Mapa final'!#REF!="Baja",'Mapa final'!#REF!="Mayor"),CONCATENATE("R10C",'Mapa final'!#REF!),"")</f>
        <v>#REF!</v>
      </c>
      <c r="AG45" s="55" t="e">
        <f>IF(AND('Mapa final'!#REF!="Baja",'Mapa final'!#REF!="Mayor"),CONCATENATE("R10C",'Mapa final'!#REF!),"")</f>
        <v>#REF!</v>
      </c>
      <c r="AH45" s="56" t="e">
        <f>IF(AND('Mapa final'!#REF!="Baja",'Mapa final'!#REF!="Catastrófico"),CONCATENATE("R10C",'Mapa final'!#REF!),"")</f>
        <v>#REF!</v>
      </c>
      <c r="AI45" s="57" t="str">
        <f ca="1">IF(AND('Mapa final'!$AA$44="Baja",'Mapa final'!$AC$44="Catastrófico"),CONCATENATE("R10C",'Mapa final'!$Q$44),"")</f>
        <v/>
      </c>
      <c r="AJ45" s="57" t="e">
        <f>IF(AND('Mapa final'!#REF!="Baja",'Mapa final'!#REF!="Catastrófico"),CONCATENATE("R10C",'Mapa final'!#REF!),"")</f>
        <v>#REF!</v>
      </c>
      <c r="AK45" s="57" t="e">
        <f>IF(AND('Mapa final'!#REF!="Baja",'Mapa final'!#REF!="Catastrófico"),CONCATENATE("R10C",'Mapa final'!#REF!),"")</f>
        <v>#REF!</v>
      </c>
      <c r="AL45" s="57" t="e">
        <f>IF(AND('Mapa final'!#REF!="Baja",'Mapa final'!#REF!="Catastrófico"),CONCATENATE("R10C",'Mapa final'!#REF!),"")</f>
        <v>#REF!</v>
      </c>
      <c r="AM45" s="58" t="e">
        <f>IF(AND('Mapa final'!#REF!="Baja",'Mapa final'!#REF!="Catastrófico"),CONCATENATE("R10C",'Mapa final'!#REF!),"")</f>
        <v>#REF!</v>
      </c>
      <c r="AN45" s="78"/>
      <c r="AO45" s="396"/>
      <c r="AP45" s="397"/>
      <c r="AQ45" s="397"/>
      <c r="AR45" s="397"/>
      <c r="AS45" s="397"/>
      <c r="AT45" s="398"/>
    </row>
    <row r="46" spans="1:80" ht="46.5" customHeight="1" x14ac:dyDescent="0.55000000000000004">
      <c r="A46" s="78"/>
      <c r="B46" s="321"/>
      <c r="C46" s="321"/>
      <c r="D46" s="322"/>
      <c r="E46" s="359" t="s">
        <v>112</v>
      </c>
      <c r="F46" s="360"/>
      <c r="G46" s="360"/>
      <c r="H46" s="360"/>
      <c r="I46" s="361"/>
      <c r="J46" s="68" t="str">
        <f>IF(AND('Mapa final'!$AA$6="Muy Baja",'Mapa final'!$AC$6="Leve"),CONCATENATE("R1C",'Mapa final'!$Q$6),"")</f>
        <v/>
      </c>
      <c r="K46" s="69" t="str">
        <f ca="1">IF(AND('Mapa final'!$AA$7="Muy Baja",'Mapa final'!$AC$7="Leve"),CONCATENATE("R1C",'Mapa final'!$Q$7),"")</f>
        <v/>
      </c>
      <c r="L46" s="69" t="str">
        <f ca="1">IF(AND('Mapa final'!$AA$8="Muy Baja",'Mapa final'!$AC$8="Leve"),CONCATENATE("R1C",'Mapa final'!$Q$8),"")</f>
        <v/>
      </c>
      <c r="M46" s="69" t="str">
        <f ca="1">IF(AND('Mapa final'!$AA$9="Muy Baja",'Mapa final'!$AC$9="Leve"),CONCATENATE("R1C",'Mapa final'!$Q$9),"")</f>
        <v/>
      </c>
      <c r="N46" s="69" t="str">
        <f ca="1">IF(AND('Mapa final'!$AA$10="Muy Baja",'Mapa final'!$AC$10="Leve"),CONCATENATE("R1C",'Mapa final'!$Q$10),"")</f>
        <v/>
      </c>
      <c r="O46" s="70" t="str">
        <f ca="1">IF(AND('Mapa final'!$AA$11="Muy Baja",'Mapa final'!$AC$11="Leve"),CONCATENATE("R1C",'Mapa final'!$Q$11),"")</f>
        <v/>
      </c>
      <c r="P46" s="68" t="str">
        <f>IF(AND('Mapa final'!$AA$6="Muy Baja",'Mapa final'!$AC$6="Menor"),CONCATENATE("R1C",'Mapa final'!$Q$6),"")</f>
        <v/>
      </c>
      <c r="Q46" s="69" t="str">
        <f ca="1">IF(AND('Mapa final'!$AA$7="Muy Baja",'Mapa final'!$AC$7="Menor"),CONCATENATE("R1C",'Mapa final'!$Q$7),"")</f>
        <v/>
      </c>
      <c r="R46" s="69" t="str">
        <f ca="1">IF(AND('Mapa final'!$AA$8="Muy Baja",'Mapa final'!$AC$8="Menor"),CONCATENATE("R1C",'Mapa final'!$Q$8),"")</f>
        <v/>
      </c>
      <c r="S46" s="69" t="str">
        <f ca="1">IF(AND('Mapa final'!$AA$9="Muy Baja",'Mapa final'!$AC$9="Menor"),CONCATENATE("R1C",'Mapa final'!$Q$9),"")</f>
        <v/>
      </c>
      <c r="T46" s="69" t="str">
        <f ca="1">IF(AND('Mapa final'!$AA$10="Muy Baja",'Mapa final'!$AC$10="Menor"),CONCATENATE("R1C",'Mapa final'!$Q$10),"")</f>
        <v/>
      </c>
      <c r="U46" s="70" t="str">
        <f ca="1">IF(AND('Mapa final'!$AA$11="Muy Baja",'Mapa final'!$AC$11="Menor"),CONCATENATE("R1C",'Mapa final'!$Q$11),"")</f>
        <v/>
      </c>
      <c r="V46" s="59" t="str">
        <f>IF(AND('Mapa final'!$AA$6="Muy Baja",'Mapa final'!$AC$6="Moderado"),CONCATENATE("R1C",'Mapa final'!$Q$6),"")</f>
        <v/>
      </c>
      <c r="W46" s="77" t="str">
        <f ca="1">IF(AND('Mapa final'!$AA$7="Muy Baja",'Mapa final'!$AC$7="Moderado"),CONCATENATE("R1C",'Mapa final'!$Q$7),"")</f>
        <v/>
      </c>
      <c r="X46" s="60" t="str">
        <f ca="1">IF(AND('Mapa final'!$AA$8="Muy Baja",'Mapa final'!$AC$8="Moderado"),CONCATENATE("R1C",'Mapa final'!$Q$8),"")</f>
        <v/>
      </c>
      <c r="Y46" s="60" t="str">
        <f ca="1">IF(AND('Mapa final'!$AA$9="Muy Baja",'Mapa final'!$AC$9="Moderado"),CONCATENATE("R1C",'Mapa final'!$Q$9),"")</f>
        <v/>
      </c>
      <c r="Z46" s="60" t="str">
        <f ca="1">IF(AND('Mapa final'!$AA$10="Muy Baja",'Mapa final'!$AC$10="Moderado"),CONCATENATE("R1C",'Mapa final'!$Q$10),"")</f>
        <v>R1C1</v>
      </c>
      <c r="AA46" s="61" t="str">
        <f ca="1">IF(AND('Mapa final'!$AA$11="Muy Baja",'Mapa final'!$AC$11="Moderado"),CONCATENATE("R1C",'Mapa final'!$Q$11),"")</f>
        <v>R1C1</v>
      </c>
      <c r="AB46" s="41" t="str">
        <f>IF(AND('Mapa final'!$AA$6="Muy Baja",'Mapa final'!$AC$6="Mayor"),CONCATENATE("R1C",'Mapa final'!$Q$6),"")</f>
        <v/>
      </c>
      <c r="AC46" s="42" t="str">
        <f ca="1">IF(AND('Mapa final'!$AA$7="Muy Baja",'Mapa final'!$AC$7="Mayor"),CONCATENATE("R1C",'Mapa final'!$Q$7),"")</f>
        <v/>
      </c>
      <c r="AD46" s="42" t="str">
        <f ca="1">IF(AND('Mapa final'!$AA$8="Muy Baja",'Mapa final'!$AC$8="Mayor"),CONCATENATE("R1C",'Mapa final'!$Q$8),"")</f>
        <v>R1C1</v>
      </c>
      <c r="AE46" s="42" t="str">
        <f ca="1">IF(AND('Mapa final'!$AA$9="Muy Baja",'Mapa final'!$AC$9="Mayor"),CONCATENATE("R1C",'Mapa final'!$Q$9),"")</f>
        <v>R1C1</v>
      </c>
      <c r="AF46" s="42" t="str">
        <f ca="1">IF(AND('Mapa final'!$AA$10="Muy Baja",'Mapa final'!$AC$10="Mayor"),CONCATENATE("R1C",'Mapa final'!$Q$10),"")</f>
        <v/>
      </c>
      <c r="AG46" s="43" t="str">
        <f ca="1">IF(AND('Mapa final'!$AA$11="Muy Baja",'Mapa final'!$AC$11="Mayor"),CONCATENATE("R1C",'Mapa final'!$Q$11),"")</f>
        <v/>
      </c>
      <c r="AH46" s="44" t="str">
        <f>IF(AND('Mapa final'!$AA$6="Muy Baja",'Mapa final'!$AC$6="Catastrófico"),CONCATENATE("R1C",'Mapa final'!$Q$6),"")</f>
        <v/>
      </c>
      <c r="AI46" s="45" t="str">
        <f ca="1">IF(AND('Mapa final'!$AA$7="Muy Baja",'Mapa final'!$AC$7="Catastrófico"),CONCATENATE("R1C",'Mapa final'!$Q$7),"")</f>
        <v/>
      </c>
      <c r="AJ46" s="45" t="str">
        <f ca="1">IF(AND('Mapa final'!$AA$8="Muy Baja",'Mapa final'!$AC$8="Catastrófico"),CONCATENATE("R1C",'Mapa final'!$Q$8),"")</f>
        <v/>
      </c>
      <c r="AK46" s="45" t="str">
        <f ca="1">IF(AND('Mapa final'!$AA$9="Muy Baja",'Mapa final'!$AC$9="Catastrófico"),CONCATENATE("R1C",'Mapa final'!$Q$9),"")</f>
        <v/>
      </c>
      <c r="AL46" s="45" t="str">
        <f ca="1">IF(AND('Mapa final'!$AA$10="Muy Baja",'Mapa final'!$AC$10="Catastrófico"),CONCATENATE("R1C",'Mapa final'!$Q$10),"")</f>
        <v/>
      </c>
      <c r="AM46" s="46" t="str">
        <f ca="1">IF(AND('Mapa final'!$AA$11="Muy Baja",'Mapa final'!$AC$11="Catastrófico"),CONCATENATE("R1C",'Mapa final'!$Q$11),"")</f>
        <v/>
      </c>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row>
    <row r="47" spans="1:80" ht="46.5" customHeight="1" x14ac:dyDescent="0.35">
      <c r="A47" s="78"/>
      <c r="B47" s="321"/>
      <c r="C47" s="321"/>
      <c r="D47" s="322"/>
      <c r="E47" s="378"/>
      <c r="F47" s="363"/>
      <c r="G47" s="363"/>
      <c r="H47" s="363"/>
      <c r="I47" s="364"/>
      <c r="J47" s="71" t="str">
        <f>IF(AND('Mapa final'!$AA$12="Muy Baja",'Mapa final'!$AC$12="Leve"),CONCATENATE("R2C",'Mapa final'!$Q$12),"")</f>
        <v/>
      </c>
      <c r="K47" s="72" t="str">
        <f ca="1">IF(AND('Mapa final'!$AA$13="Muy Baja",'Mapa final'!$AC$13="Leve"),CONCATENATE("R2C",'Mapa final'!$Q$13),"")</f>
        <v/>
      </c>
      <c r="L47" s="72" t="str">
        <f ca="1">IF(AND('Mapa final'!$AA$14="Muy Baja",'Mapa final'!$AC$14="Leve"),CONCATENATE("R2C",'Mapa final'!$Q$14),"")</f>
        <v/>
      </c>
      <c r="M47" s="72" t="str">
        <f ca="1">IF(AND('Mapa final'!$AA$15="Muy Baja",'Mapa final'!$AC$15="Leve"),CONCATENATE("R2C",'Mapa final'!$Q$15),"")</f>
        <v/>
      </c>
      <c r="N47" s="72" t="str">
        <f ca="1">IF(AND('Mapa final'!$AA$16="Muy Baja",'Mapa final'!$AC$16="Leve"),CONCATENATE("R2C",'Mapa final'!$Q$16),"")</f>
        <v/>
      </c>
      <c r="O47" s="73" t="e">
        <f>IF(AND('Mapa final'!#REF!="Muy Baja",'Mapa final'!#REF!="Leve"),CONCATENATE("R2C",'Mapa final'!#REF!),"")</f>
        <v>#REF!</v>
      </c>
      <c r="P47" s="71" t="str">
        <f>IF(AND('Mapa final'!$AA$12="Muy Baja",'Mapa final'!$AC$12="Menor"),CONCATENATE("R2C",'Mapa final'!$Q$12),"")</f>
        <v/>
      </c>
      <c r="Q47" s="72" t="str">
        <f ca="1">IF(AND('Mapa final'!$AA$13="Muy Baja",'Mapa final'!$AC$13="Menor"),CONCATENATE("R2C",'Mapa final'!$Q$13),"")</f>
        <v/>
      </c>
      <c r="R47" s="72" t="str">
        <f ca="1">IF(AND('Mapa final'!$AA$14="Muy Baja",'Mapa final'!$AC$14="Menor"),CONCATENATE("R2C",'Mapa final'!$Q$14),"")</f>
        <v/>
      </c>
      <c r="S47" s="72" t="str">
        <f ca="1">IF(AND('Mapa final'!$AA$15="Muy Baja",'Mapa final'!$AC$15="Menor"),CONCATENATE("R2C",'Mapa final'!$Q$15),"")</f>
        <v/>
      </c>
      <c r="T47" s="72" t="str">
        <f ca="1">IF(AND('Mapa final'!$AA$16="Muy Baja",'Mapa final'!$AC$16="Menor"),CONCATENATE("R2C",'Mapa final'!$Q$16),"")</f>
        <v/>
      </c>
      <c r="U47" s="73" t="e">
        <f>IF(AND('Mapa final'!#REF!="Muy Baja",'Mapa final'!#REF!="Menor"),CONCATENATE("R2C",'Mapa final'!#REF!),"")</f>
        <v>#REF!</v>
      </c>
      <c r="V47" s="62" t="str">
        <f>IF(AND('Mapa final'!$AA$12="Muy Baja",'Mapa final'!$AC$12="Moderado"),CONCATENATE("R2C",'Mapa final'!$Q$12),"")</f>
        <v/>
      </c>
      <c r="W47" s="63" t="str">
        <f ca="1">IF(AND('Mapa final'!$AA$13="Muy Baja",'Mapa final'!$AC$13="Moderado"),CONCATENATE("R2C",'Mapa final'!$Q$13),"")</f>
        <v/>
      </c>
      <c r="X47" s="63" t="str">
        <f ca="1">IF(AND('Mapa final'!$AA$14="Muy Baja",'Mapa final'!$AC$14="Moderado"),CONCATENATE("R2C",'Mapa final'!$Q$14),"")</f>
        <v>R2C2</v>
      </c>
      <c r="Y47" s="63" t="str">
        <f ca="1">IF(AND('Mapa final'!$AA$15="Muy Baja",'Mapa final'!$AC$15="Moderado"),CONCATENATE("R2C",'Mapa final'!$Q$15),"")</f>
        <v>R2C2</v>
      </c>
      <c r="Z47" s="63" t="str">
        <f ca="1">IF(AND('Mapa final'!$AA$16="Muy Baja",'Mapa final'!$AC$16="Moderado"),CONCATENATE("R2C",'Mapa final'!$Q$16),"")</f>
        <v>R2C1</v>
      </c>
      <c r="AA47" s="64" t="e">
        <f>IF(AND('Mapa final'!#REF!="Muy Baja",'Mapa final'!#REF!="Moderado"),CONCATENATE("R2C",'Mapa final'!#REF!),"")</f>
        <v>#REF!</v>
      </c>
      <c r="AB47" s="47" t="str">
        <f>IF(AND('Mapa final'!$AA$12="Muy Baja",'Mapa final'!$AC$12="Mayor"),CONCATENATE("R2C",'Mapa final'!$Q$12),"")</f>
        <v/>
      </c>
      <c r="AC47" s="48" t="str">
        <f ca="1">IF(AND('Mapa final'!$AA$13="Muy Baja",'Mapa final'!$AC$13="Mayor"),CONCATENATE("R2C",'Mapa final'!$Q$13),"")</f>
        <v/>
      </c>
      <c r="AD47" s="48" t="str">
        <f ca="1">IF(AND('Mapa final'!$AA$14="Muy Baja",'Mapa final'!$AC$14="Mayor"),CONCATENATE("R2C",'Mapa final'!$Q$14),"")</f>
        <v/>
      </c>
      <c r="AE47" s="48" t="str">
        <f ca="1">IF(AND('Mapa final'!$AA$15="Muy Baja",'Mapa final'!$AC$15="Mayor"),CONCATENATE("R2C",'Mapa final'!$Q$15),"")</f>
        <v/>
      </c>
      <c r="AF47" s="48" t="str">
        <f ca="1">IF(AND('Mapa final'!$AA$16="Muy Baja",'Mapa final'!$AC$16="Mayor"),CONCATENATE("R2C",'Mapa final'!$Q$16),"")</f>
        <v/>
      </c>
      <c r="AG47" s="49" t="e">
        <f>IF(AND('Mapa final'!#REF!="Muy Baja",'Mapa final'!#REF!="Mayor"),CONCATENATE("R2C",'Mapa final'!#REF!),"")</f>
        <v>#REF!</v>
      </c>
      <c r="AH47" s="50" t="str">
        <f>IF(AND('Mapa final'!$AA$12="Muy Baja",'Mapa final'!$AC$12="Catastrófico"),CONCATENATE("R2C",'Mapa final'!$Q$12),"")</f>
        <v/>
      </c>
      <c r="AI47" s="51" t="str">
        <f ca="1">IF(AND('Mapa final'!$AA$13="Muy Baja",'Mapa final'!$AC$13="Catastrófico"),CONCATENATE("R2C",'Mapa final'!$Q$13),"")</f>
        <v/>
      </c>
      <c r="AJ47" s="51" t="str">
        <f ca="1">IF(AND('Mapa final'!$AA$14="Muy Baja",'Mapa final'!$AC$14="Catastrófico"),CONCATENATE("R2C",'Mapa final'!$Q$14),"")</f>
        <v/>
      </c>
      <c r="AK47" s="51" t="str">
        <f ca="1">IF(AND('Mapa final'!$AA$15="Muy Baja",'Mapa final'!$AC$15="Catastrófico"),CONCATENATE("R2C",'Mapa final'!$Q$15),"")</f>
        <v/>
      </c>
      <c r="AL47" s="51" t="str">
        <f ca="1">IF(AND('Mapa final'!$AA$16="Muy Baja",'Mapa final'!$AC$16="Catastrófico"),CONCATENATE("R2C",'Mapa final'!$Q$16),"")</f>
        <v/>
      </c>
      <c r="AM47" s="52" t="e">
        <f>IF(AND('Mapa final'!#REF!="Muy Baja",'Mapa final'!#REF!="Catastrófico"),CONCATENATE("R2C",'Mapa final'!#REF!),"")</f>
        <v>#REF!</v>
      </c>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row>
    <row r="48" spans="1:80" ht="15" customHeight="1" x14ac:dyDescent="0.35">
      <c r="A48" s="78"/>
      <c r="B48" s="321"/>
      <c r="C48" s="321"/>
      <c r="D48" s="322"/>
      <c r="E48" s="378"/>
      <c r="F48" s="363"/>
      <c r="G48" s="363"/>
      <c r="H48" s="363"/>
      <c r="I48" s="364"/>
      <c r="J48" s="71" t="e">
        <f>IF(AND('Mapa final'!#REF!="Muy Baja",'Mapa final'!#REF!="Leve"),CONCATENATE("R3C",'Mapa final'!#REF!),"")</f>
        <v>#REF!</v>
      </c>
      <c r="K48" s="72" t="e">
        <f>IF(AND('Mapa final'!#REF!="Muy Baja",'Mapa final'!#REF!="Leve"),CONCATENATE("R3C",'Mapa final'!#REF!),"")</f>
        <v>#REF!</v>
      </c>
      <c r="L48" s="72" t="e">
        <f>IF(AND('Mapa final'!#REF!="Muy Baja",'Mapa final'!#REF!="Leve"),CONCATENATE("R3C",'Mapa final'!#REF!),"")</f>
        <v>#REF!</v>
      </c>
      <c r="M48" s="72" t="e">
        <f>IF(AND('Mapa final'!#REF!="Muy Baja",'Mapa final'!#REF!="Leve"),CONCATENATE("R3C",'Mapa final'!#REF!),"")</f>
        <v>#REF!</v>
      </c>
      <c r="N48" s="72" t="str">
        <f ca="1">IF(AND('Mapa final'!$AA$17="Muy Baja",'Mapa final'!$AC$17="Leve"),CONCATENATE("R3C",'Mapa final'!$Q$17),"")</f>
        <v/>
      </c>
      <c r="O48" s="73" t="str">
        <f ca="1">IF(AND('Mapa final'!$AA$18="Muy Baja",'Mapa final'!$AC$18="Leve"),CONCATENATE("R3C",'Mapa final'!$Q$18),"")</f>
        <v/>
      </c>
      <c r="P48" s="71" t="e">
        <f>IF(AND('Mapa final'!#REF!="Muy Baja",'Mapa final'!#REF!="Menor"),CONCATENATE("R3C",'Mapa final'!#REF!),"")</f>
        <v>#REF!</v>
      </c>
      <c r="Q48" s="72" t="e">
        <f>IF(AND('Mapa final'!#REF!="Muy Baja",'Mapa final'!#REF!="Menor"),CONCATENATE("R3C",'Mapa final'!#REF!),"")</f>
        <v>#REF!</v>
      </c>
      <c r="R48" s="72" t="e">
        <f>IF(AND('Mapa final'!#REF!="Muy Baja",'Mapa final'!#REF!="Menor"),CONCATENATE("R3C",'Mapa final'!#REF!),"")</f>
        <v>#REF!</v>
      </c>
      <c r="S48" s="72" t="e">
        <f>IF(AND('Mapa final'!#REF!="Muy Baja",'Mapa final'!#REF!="Menor"),CONCATENATE("R3C",'Mapa final'!#REF!),"")</f>
        <v>#REF!</v>
      </c>
      <c r="T48" s="72" t="str">
        <f ca="1">IF(AND('Mapa final'!$AA$17="Muy Baja",'Mapa final'!$AC$17="Menor"),CONCATENATE("R3C",'Mapa final'!$Q$17),"")</f>
        <v/>
      </c>
      <c r="U48" s="73" t="str">
        <f ca="1">IF(AND('Mapa final'!$AA$18="Muy Baja",'Mapa final'!$AC$18="Menor"),CONCATENATE("R3C",'Mapa final'!$Q$18),"")</f>
        <v/>
      </c>
      <c r="V48" s="62" t="e">
        <f>IF(AND('Mapa final'!#REF!="Muy Baja",'Mapa final'!#REF!="Moderado"),CONCATENATE("R3C",'Mapa final'!#REF!),"")</f>
        <v>#REF!</v>
      </c>
      <c r="W48" s="63" t="e">
        <f>IF(AND('Mapa final'!#REF!="Muy Baja",'Mapa final'!#REF!="Moderado"),CONCATENATE("R3C",'Mapa final'!#REF!),"")</f>
        <v>#REF!</v>
      </c>
      <c r="X48" s="63" t="e">
        <f>IF(AND('Mapa final'!#REF!="Muy Baja",'Mapa final'!#REF!="Moderado"),CONCATENATE("R3C",'Mapa final'!#REF!),"")</f>
        <v>#REF!</v>
      </c>
      <c r="Y48" s="63" t="e">
        <f>IF(AND('Mapa final'!#REF!="Muy Baja",'Mapa final'!#REF!="Moderado"),CONCATENATE("R3C",'Mapa final'!#REF!),"")</f>
        <v>#REF!</v>
      </c>
      <c r="Z48" s="63" t="str">
        <f ca="1">IF(AND('Mapa final'!$AA$17="Muy Baja",'Mapa final'!$AC$17="Moderado"),CONCATENATE("R3C",'Mapa final'!$Q$17),"")</f>
        <v>R3C1</v>
      </c>
      <c r="AA48" s="64" t="str">
        <f ca="1">IF(AND('Mapa final'!$AA$18="Muy Baja",'Mapa final'!$AC$18="Moderado"),CONCATENATE("R3C",'Mapa final'!$Q$18),"")</f>
        <v/>
      </c>
      <c r="AB48" s="47" t="e">
        <f>IF(AND('Mapa final'!#REF!="Muy Baja",'Mapa final'!#REF!="Mayor"),CONCATENATE("R3C",'Mapa final'!#REF!),"")</f>
        <v>#REF!</v>
      </c>
      <c r="AC48" s="48" t="e">
        <f>IF(AND('Mapa final'!#REF!="Muy Baja",'Mapa final'!#REF!="Mayor"),CONCATENATE("R3C",'Mapa final'!#REF!),"")</f>
        <v>#REF!</v>
      </c>
      <c r="AD48" s="48" t="e">
        <f>IF(AND('Mapa final'!#REF!="Muy Baja",'Mapa final'!#REF!="Mayor"),CONCATENATE("R3C",'Mapa final'!#REF!),"")</f>
        <v>#REF!</v>
      </c>
      <c r="AE48" s="48" t="e">
        <f>IF(AND('Mapa final'!#REF!="Muy Baja",'Mapa final'!#REF!="Mayor"),CONCATENATE("R3C",'Mapa final'!#REF!),"")</f>
        <v>#REF!</v>
      </c>
      <c r="AF48" s="48" t="str">
        <f ca="1">IF(AND('Mapa final'!$AA$17="Muy Baja",'Mapa final'!$AC$17="Mayor"),CONCATENATE("R3C",'Mapa final'!$Q$17),"")</f>
        <v/>
      </c>
      <c r="AG48" s="49" t="str">
        <f ca="1">IF(AND('Mapa final'!$AA$18="Muy Baja",'Mapa final'!$AC$18="Mayor"),CONCATENATE("R3C",'Mapa final'!$Q$18),"")</f>
        <v>R3C1</v>
      </c>
      <c r="AH48" s="50" t="e">
        <f>IF(AND('Mapa final'!#REF!="Muy Baja",'Mapa final'!#REF!="Catastrófico"),CONCATENATE("R3C",'Mapa final'!#REF!),"")</f>
        <v>#REF!</v>
      </c>
      <c r="AI48" s="51" t="e">
        <f>IF(AND('Mapa final'!#REF!="Muy Baja",'Mapa final'!#REF!="Catastrófico"),CONCATENATE("R3C",'Mapa final'!#REF!),"")</f>
        <v>#REF!</v>
      </c>
      <c r="AJ48" s="51" t="e">
        <f>IF(AND('Mapa final'!#REF!="Muy Baja",'Mapa final'!#REF!="Catastrófico"),CONCATENATE("R3C",'Mapa final'!#REF!),"")</f>
        <v>#REF!</v>
      </c>
      <c r="AK48" s="51" t="e">
        <f>IF(AND('Mapa final'!#REF!="Muy Baja",'Mapa final'!#REF!="Catastrófico"),CONCATENATE("R3C",'Mapa final'!#REF!),"")</f>
        <v>#REF!</v>
      </c>
      <c r="AL48" s="51" t="str">
        <f ca="1">IF(AND('Mapa final'!$AA$17="Muy Baja",'Mapa final'!$AC$17="Catastrófico"),CONCATENATE("R3C",'Mapa final'!$Q$17),"")</f>
        <v/>
      </c>
      <c r="AM48" s="52" t="str">
        <f ca="1">IF(AND('Mapa final'!$AA$18="Muy Baja",'Mapa final'!$AC$18="Catastrófico"),CONCATENATE("R3C",'Mapa final'!$Q$18),"")</f>
        <v/>
      </c>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row>
    <row r="49" spans="1:80" ht="15" customHeight="1" x14ac:dyDescent="0.35">
      <c r="A49" s="78"/>
      <c r="B49" s="321"/>
      <c r="C49" s="321"/>
      <c r="D49" s="322"/>
      <c r="E49" s="362"/>
      <c r="F49" s="363"/>
      <c r="G49" s="363"/>
      <c r="H49" s="363"/>
      <c r="I49" s="364"/>
      <c r="J49" s="71" t="str">
        <f>IF(AND('Mapa final'!$AA$19="Muy Baja",'Mapa final'!$AC$19="Leve"),CONCATENATE("R4C",'Mapa final'!$Q$19),"")</f>
        <v/>
      </c>
      <c r="K49" s="72" t="e">
        <f>IF(AND('Mapa final'!#REF!="Muy Baja",'Mapa final'!#REF!="Leve"),CONCATENATE("R4C",'Mapa final'!#REF!),"")</f>
        <v>#REF!</v>
      </c>
      <c r="L49" s="72" t="str">
        <f ca="1">IF(AND('Mapa final'!$AA$21="Muy Baja",'Mapa final'!$AC$21="Leve"),CONCATENATE("R4C",'Mapa final'!$Q$21),"")</f>
        <v/>
      </c>
      <c r="M49" s="72" t="str">
        <f ca="1">IF(AND('Mapa final'!$AA$22="Muy Baja",'Mapa final'!$AC$22="Leve"),CONCATENATE("R4C",'Mapa final'!$Q$22),"")</f>
        <v/>
      </c>
      <c r="N49" s="72" t="e">
        <f>IF(AND('Mapa final'!#REF!="Muy Baja",'Mapa final'!#REF!="Leve"),CONCATENATE("R4C",'Mapa final'!#REF!),"")</f>
        <v>#REF!</v>
      </c>
      <c r="O49" s="73" t="str">
        <f ca="1">IF(AND('Mapa final'!$AA$23="Muy Baja",'Mapa final'!$AC$23="Leve"),CONCATENATE("R4C",'Mapa final'!$Q$23),"")</f>
        <v/>
      </c>
      <c r="P49" s="71" t="str">
        <f>IF(AND('Mapa final'!$AA$19="Muy Baja",'Mapa final'!$AC$19="Menor"),CONCATENATE("R4C",'Mapa final'!$Q$19),"")</f>
        <v/>
      </c>
      <c r="Q49" s="72" t="e">
        <f>IF(AND('Mapa final'!#REF!="Muy Baja",'Mapa final'!#REF!="Menor"),CONCATENATE("R4C",'Mapa final'!#REF!),"")</f>
        <v>#REF!</v>
      </c>
      <c r="R49" s="72" t="str">
        <f ca="1">IF(AND('Mapa final'!$AA$21="Muy Baja",'Mapa final'!$AC$21="Menor"),CONCATENATE("R4C",'Mapa final'!$Q$21),"")</f>
        <v/>
      </c>
      <c r="S49" s="72" t="str">
        <f ca="1">IF(AND('Mapa final'!$AA$22="Muy Baja",'Mapa final'!$AC$22="Menor"),CONCATENATE("R4C",'Mapa final'!$Q$22),"")</f>
        <v/>
      </c>
      <c r="T49" s="72" t="e">
        <f>IF(AND('Mapa final'!#REF!="Muy Baja",'Mapa final'!#REF!="Menor"),CONCATENATE("R4C",'Mapa final'!#REF!),"")</f>
        <v>#REF!</v>
      </c>
      <c r="U49" s="73" t="str">
        <f ca="1">IF(AND('Mapa final'!$AA$23="Muy Baja",'Mapa final'!$AC$23="Menor"),CONCATENATE("R4C",'Mapa final'!$Q$23),"")</f>
        <v/>
      </c>
      <c r="V49" s="62" t="str">
        <f>IF(AND('Mapa final'!$AA$19="Muy Baja",'Mapa final'!$AC$19="Moderado"),CONCATENATE("R4C",'Mapa final'!$Q$19),"")</f>
        <v/>
      </c>
      <c r="W49" s="63" t="e">
        <f>IF(AND('Mapa final'!#REF!="Muy Baja",'Mapa final'!#REF!="Moderado"),CONCATENATE("R4C",'Mapa final'!#REF!),"")</f>
        <v>#REF!</v>
      </c>
      <c r="X49" s="63" t="str">
        <f ca="1">IF(AND('Mapa final'!$AA$21="Muy Baja",'Mapa final'!$AC$21="Moderado"),CONCATENATE("R4C",'Mapa final'!$Q$21),"")</f>
        <v/>
      </c>
      <c r="Y49" s="63" t="str">
        <f ca="1">IF(AND('Mapa final'!$AA$22="Muy Baja",'Mapa final'!$AC$22="Moderado"),CONCATENATE("R4C",'Mapa final'!$Q$22),"")</f>
        <v/>
      </c>
      <c r="Z49" s="63" t="e">
        <f>IF(AND('Mapa final'!#REF!="Muy Baja",'Mapa final'!#REF!="Moderado"),CONCATENATE("R4C",'Mapa final'!#REF!),"")</f>
        <v>#REF!</v>
      </c>
      <c r="AA49" s="64" t="str">
        <f ca="1">IF(AND('Mapa final'!$AA$23="Muy Baja",'Mapa final'!$AC$23="Moderado"),CONCATENATE("R4C",'Mapa final'!$Q$23),"")</f>
        <v/>
      </c>
      <c r="AB49" s="47" t="str">
        <f>IF(AND('Mapa final'!$AA$19="Muy Baja",'Mapa final'!$AC$19="Mayor"),CONCATENATE("R4C",'Mapa final'!$Q$19),"")</f>
        <v/>
      </c>
      <c r="AC49" s="48" t="e">
        <f>IF(AND('Mapa final'!#REF!="Muy Baja",'Mapa final'!#REF!="Mayor"),CONCATENATE("R4C",'Mapa final'!#REF!),"")</f>
        <v>#REF!</v>
      </c>
      <c r="AD49" s="48" t="str">
        <f ca="1">IF(AND('Mapa final'!$AA$21="Muy Baja",'Mapa final'!$AC$21="Mayor"),CONCATENATE("R4C",'Mapa final'!$Q$21),"")</f>
        <v/>
      </c>
      <c r="AE49" s="48" t="str">
        <f ca="1">IF(AND('Mapa final'!$AA$22="Muy Baja",'Mapa final'!$AC$22="Mayor"),CONCATENATE("R4C",'Mapa final'!$Q$22),"")</f>
        <v/>
      </c>
      <c r="AF49" s="48" t="e">
        <f>IF(AND('Mapa final'!#REF!="Muy Baja",'Mapa final'!#REF!="Mayor"),CONCATENATE("R4C",'Mapa final'!#REF!),"")</f>
        <v>#REF!</v>
      </c>
      <c r="AG49" s="49" t="str">
        <f ca="1">IF(AND('Mapa final'!$AA$23="Muy Baja",'Mapa final'!$AC$23="Mayor"),CONCATENATE("R4C",'Mapa final'!$Q$23),"")</f>
        <v/>
      </c>
      <c r="AH49" s="50" t="str">
        <f>IF(AND('Mapa final'!$AA$19="Muy Baja",'Mapa final'!$AC$19="Catastrófico"),CONCATENATE("R4C",'Mapa final'!$Q$19),"")</f>
        <v/>
      </c>
      <c r="AI49" s="51" t="e">
        <f>IF(AND('Mapa final'!#REF!="Muy Baja",'Mapa final'!#REF!="Catastrófico"),CONCATENATE("R4C",'Mapa final'!#REF!),"")</f>
        <v>#REF!</v>
      </c>
      <c r="AJ49" s="51" t="str">
        <f ca="1">IF(AND('Mapa final'!$AA$21="Muy Baja",'Mapa final'!$AC$21="Catastrófico"),CONCATENATE("R4C",'Mapa final'!$Q$21),"")</f>
        <v/>
      </c>
      <c r="AK49" s="51" t="str">
        <f ca="1">IF(AND('Mapa final'!$AA$22="Muy Baja",'Mapa final'!$AC$22="Catastrófico"),CONCATENATE("R4C",'Mapa final'!$Q$22),"")</f>
        <v/>
      </c>
      <c r="AL49" s="51" t="e">
        <f>IF(AND('Mapa final'!#REF!="Muy Baja",'Mapa final'!#REF!="Catastrófico"),CONCATENATE("R4C",'Mapa final'!#REF!),"")</f>
        <v>#REF!</v>
      </c>
      <c r="AM49" s="52" t="str">
        <f ca="1">IF(AND('Mapa final'!$AA$23="Muy Baja",'Mapa final'!$AC$23="Catastrófico"),CONCATENATE("R4C",'Mapa final'!$Q$23),"")</f>
        <v/>
      </c>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row>
    <row r="50" spans="1:80" ht="15" customHeight="1" x14ac:dyDescent="0.35">
      <c r="A50" s="78"/>
      <c r="B50" s="321"/>
      <c r="C50" s="321"/>
      <c r="D50" s="322"/>
      <c r="E50" s="362"/>
      <c r="F50" s="363"/>
      <c r="G50" s="363"/>
      <c r="H50" s="363"/>
      <c r="I50" s="364"/>
      <c r="J50" s="71" t="e">
        <f>IF(AND('Mapa final'!#REF!="Muy Baja",'Mapa final'!#REF!="Leve"),CONCATENATE("R5C",'Mapa final'!#REF!),"")</f>
        <v>#REF!</v>
      </c>
      <c r="K50" s="72" t="str">
        <f ca="1">IF(AND('Mapa final'!$AA$24="Muy Baja",'Mapa final'!$AC$24="Leve"),CONCATENATE("R5C",'Mapa final'!$Q$24),"")</f>
        <v/>
      </c>
      <c r="L50" s="72" t="str">
        <f ca="1">IF(AND('Mapa final'!$AA$25="Muy Baja",'Mapa final'!$AC$25="Leve"),CONCATENATE("R5C",'Mapa final'!$Q$25),"")</f>
        <v/>
      </c>
      <c r="M50" s="72" t="str">
        <f ca="1">IF(AND('Mapa final'!$AA$26="Muy Baja",'Mapa final'!$AC$26="Leve"),CONCATENATE("R5C",'Mapa final'!$Q$26),"")</f>
        <v/>
      </c>
      <c r="N50" s="72" t="str">
        <f ca="1">IF(AND('Mapa final'!$AA$27="Muy Baja",'Mapa final'!$AC$27="Leve"),CONCATENATE("R5C",'Mapa final'!$Q$27),"")</f>
        <v/>
      </c>
      <c r="O50" s="73" t="str">
        <f ca="1">IF(AND('Mapa final'!$AA$28="Muy Baja",'Mapa final'!$AC$28="Leve"),CONCATENATE("R5C",'Mapa final'!$Q$28),"")</f>
        <v/>
      </c>
      <c r="P50" s="71" t="e">
        <f>IF(AND('Mapa final'!#REF!="Muy Baja",'Mapa final'!#REF!="Menor"),CONCATENATE("R5C",'Mapa final'!#REF!),"")</f>
        <v>#REF!</v>
      </c>
      <c r="Q50" s="72" t="str">
        <f ca="1">IF(AND('Mapa final'!$AA$24="Muy Baja",'Mapa final'!$AC$24="Menor"),CONCATENATE("R5C",'Mapa final'!$Q$24),"")</f>
        <v/>
      </c>
      <c r="R50" s="72" t="str">
        <f ca="1">IF(AND('Mapa final'!$AA$25="Muy Baja",'Mapa final'!$AC$25="Menor"),CONCATENATE("R5C",'Mapa final'!$Q$25),"")</f>
        <v/>
      </c>
      <c r="S50" s="72" t="str">
        <f ca="1">IF(AND('Mapa final'!$AA$26="Muy Baja",'Mapa final'!$AC$26="Menor"),CONCATENATE("R5C",'Mapa final'!$Q$26),"")</f>
        <v/>
      </c>
      <c r="T50" s="72" t="str">
        <f ca="1">IF(AND('Mapa final'!$AA$27="Muy Baja",'Mapa final'!$AC$27="Menor"),CONCATENATE("R5C",'Mapa final'!$Q$27),"")</f>
        <v/>
      </c>
      <c r="U50" s="73" t="str">
        <f ca="1">IF(AND('Mapa final'!$AA$28="Muy Baja",'Mapa final'!$AC$28="Menor"),CONCATENATE("R5C",'Mapa final'!$Q$28),"")</f>
        <v/>
      </c>
      <c r="V50" s="62" t="e">
        <f>IF(AND('Mapa final'!#REF!="Muy Baja",'Mapa final'!#REF!="Moderado"),CONCATENATE("R5C",'Mapa final'!#REF!),"")</f>
        <v>#REF!</v>
      </c>
      <c r="W50" s="63" t="str">
        <f ca="1">IF(AND('Mapa final'!$AA$24="Muy Baja",'Mapa final'!$AC$24="Moderado"),CONCATENATE("R5C",'Mapa final'!$Q$24),"")</f>
        <v/>
      </c>
      <c r="X50" s="63" t="str">
        <f ca="1">IF(AND('Mapa final'!$AA$25="Muy Baja",'Mapa final'!$AC$25="Moderado"),CONCATENATE("R5C",'Mapa final'!$Q$25),"")</f>
        <v/>
      </c>
      <c r="Y50" s="63" t="str">
        <f ca="1">IF(AND('Mapa final'!$AA$26="Muy Baja",'Mapa final'!$AC$26="Moderado"),CONCATENATE("R5C",'Mapa final'!$Q$26),"")</f>
        <v>R5C2</v>
      </c>
      <c r="Z50" s="63" t="str">
        <f ca="1">IF(AND('Mapa final'!$AA$27="Muy Baja",'Mapa final'!$AC$27="Moderado"),CONCATENATE("R5C",'Mapa final'!$Q$27),"")</f>
        <v>R5C1</v>
      </c>
      <c r="AA50" s="64" t="str">
        <f ca="1">IF(AND('Mapa final'!$AA$28="Muy Baja",'Mapa final'!$AC$28="Moderado"),CONCATENATE("R5C",'Mapa final'!$Q$28),"")</f>
        <v/>
      </c>
      <c r="AB50" s="47" t="e">
        <f>IF(AND('Mapa final'!#REF!="Muy Baja",'Mapa final'!#REF!="Mayor"),CONCATENATE("R5C",'Mapa final'!#REF!),"")</f>
        <v>#REF!</v>
      </c>
      <c r="AC50" s="48" t="str">
        <f ca="1">IF(AND('Mapa final'!$AA$24="Muy Baja",'Mapa final'!$AC$24="Mayor"),CONCATENATE("R5C",'Mapa final'!$Q$24),"")</f>
        <v/>
      </c>
      <c r="AD50" s="48" t="str">
        <f ca="1">IF(AND('Mapa final'!$AA$25="Muy Baja",'Mapa final'!$AC$25="Mayor"),CONCATENATE("R5C",'Mapa final'!$Q$25),"")</f>
        <v>R5C1</v>
      </c>
      <c r="AE50" s="48" t="str">
        <f ca="1">IF(AND('Mapa final'!$AA$26="Muy Baja",'Mapa final'!$AC$26="Mayor"),CONCATENATE("R5C",'Mapa final'!$Q$26),"")</f>
        <v/>
      </c>
      <c r="AF50" s="48" t="str">
        <f ca="1">IF(AND('Mapa final'!$AA$27="Muy Baja",'Mapa final'!$AC$27="Mayor"),CONCATENATE("R5C",'Mapa final'!$Q$27),"")</f>
        <v/>
      </c>
      <c r="AG50" s="49" t="str">
        <f ca="1">IF(AND('Mapa final'!$AA$28="Muy Baja",'Mapa final'!$AC$28="Mayor"),CONCATENATE("R5C",'Mapa final'!$Q$28),"")</f>
        <v>R5C1</v>
      </c>
      <c r="AH50" s="50" t="e">
        <f>IF(AND('Mapa final'!#REF!="Muy Baja",'Mapa final'!#REF!="Catastrófico"),CONCATENATE("R5C",'Mapa final'!#REF!),"")</f>
        <v>#REF!</v>
      </c>
      <c r="AI50" s="51" t="str">
        <f ca="1">IF(AND('Mapa final'!$AA$24="Muy Baja",'Mapa final'!$AC$24="Catastrófico"),CONCATENATE("R5C",'Mapa final'!$Q$24),"")</f>
        <v/>
      </c>
      <c r="AJ50" s="51" t="str">
        <f ca="1">IF(AND('Mapa final'!$AA$25="Muy Baja",'Mapa final'!$AC$25="Catastrófico"),CONCATENATE("R5C",'Mapa final'!$Q$25),"")</f>
        <v/>
      </c>
      <c r="AK50" s="51" t="str">
        <f ca="1">IF(AND('Mapa final'!$AA$26="Muy Baja",'Mapa final'!$AC$26="Catastrófico"),CONCATENATE("R5C",'Mapa final'!$Q$26),"")</f>
        <v/>
      </c>
      <c r="AL50" s="51" t="str">
        <f ca="1">IF(AND('Mapa final'!$AA$27="Muy Baja",'Mapa final'!$AC$27="Catastrófico"),CONCATENATE("R5C",'Mapa final'!$Q$27),"")</f>
        <v/>
      </c>
      <c r="AM50" s="52" t="str">
        <f ca="1">IF(AND('Mapa final'!$AA$28="Muy Baja",'Mapa final'!$AC$28="Catastrófico"),CONCATENATE("R5C",'Mapa final'!$Q$28),"")</f>
        <v/>
      </c>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row>
    <row r="51" spans="1:80" ht="15" customHeight="1" x14ac:dyDescent="0.35">
      <c r="A51" s="78"/>
      <c r="B51" s="321"/>
      <c r="C51" s="321"/>
      <c r="D51" s="322"/>
      <c r="E51" s="362"/>
      <c r="F51" s="363"/>
      <c r="G51" s="363"/>
      <c r="H51" s="363"/>
      <c r="I51" s="364"/>
      <c r="J51" s="71" t="str">
        <f>IF(AND('Mapa final'!$AA$29="Muy Baja",'Mapa final'!$AC$29="Leve"),CONCATENATE("R6C",'Mapa final'!$Q$29),"")</f>
        <v/>
      </c>
      <c r="K51" s="72" t="e">
        <f>IF(AND('Mapa final'!#REF!="Muy Baja",'Mapa final'!#REF!="Leve"),CONCATENATE("R6C",'Mapa final'!#REF!),"")</f>
        <v>#REF!</v>
      </c>
      <c r="L51" s="72" t="e">
        <f>IF(AND('Mapa final'!#REF!="Muy Baja",'Mapa final'!#REF!="Leve"),CONCATENATE("R6C",'Mapa final'!#REF!),"")</f>
        <v>#REF!</v>
      </c>
      <c r="M51" s="72" t="str">
        <f ca="1">IF(AND('Mapa final'!$AA$30="Muy Baja",'Mapa final'!$AC$30="Leve"),CONCATENATE("R6C",'Mapa final'!$Q$30),"")</f>
        <v/>
      </c>
      <c r="N51" s="72" t="str">
        <f ca="1">IF(AND('Mapa final'!$AA$32="Muy Baja",'Mapa final'!$AC$32="Leve"),CONCATENATE("R6C",'Mapa final'!$Q$32),"")</f>
        <v/>
      </c>
      <c r="O51" s="73" t="e">
        <f>IF(AND('Mapa final'!#REF!="Muy Baja",'Mapa final'!#REF!="Leve"),CONCATENATE("R6C",'Mapa final'!#REF!),"")</f>
        <v>#REF!</v>
      </c>
      <c r="P51" s="71" t="str">
        <f>IF(AND('Mapa final'!$AA$29="Muy Baja",'Mapa final'!$AC$29="Menor"),CONCATENATE("R6C",'Mapa final'!$Q$29),"")</f>
        <v/>
      </c>
      <c r="Q51" s="72" t="e">
        <f>IF(AND('Mapa final'!#REF!="Muy Baja",'Mapa final'!#REF!="Menor"),CONCATENATE("R6C",'Mapa final'!#REF!),"")</f>
        <v>#REF!</v>
      </c>
      <c r="R51" s="72" t="e">
        <f>IF(AND('Mapa final'!#REF!="Muy Baja",'Mapa final'!#REF!="Menor"),CONCATENATE("R6C",'Mapa final'!#REF!),"")</f>
        <v>#REF!</v>
      </c>
      <c r="S51" s="72" t="str">
        <f ca="1">IF(AND('Mapa final'!$AA$30="Muy Baja",'Mapa final'!$AC$30="Menor"),CONCATENATE("R6C",'Mapa final'!$Q$30),"")</f>
        <v/>
      </c>
      <c r="T51" s="72" t="str">
        <f ca="1">IF(AND('Mapa final'!$AA$32="Muy Baja",'Mapa final'!$AC$32="Menor"),CONCATENATE("R6C",'Mapa final'!$Q$32),"")</f>
        <v/>
      </c>
      <c r="U51" s="73" t="e">
        <f>IF(AND('Mapa final'!#REF!="Muy Baja",'Mapa final'!#REF!="Menor"),CONCATENATE("R6C",'Mapa final'!#REF!),"")</f>
        <v>#REF!</v>
      </c>
      <c r="V51" s="62" t="str">
        <f>IF(AND('Mapa final'!$AA$29="Muy Baja",'Mapa final'!$AC$29="Moderado"),CONCATENATE("R6C",'Mapa final'!$Q$29),"")</f>
        <v/>
      </c>
      <c r="W51" s="63" t="e">
        <f>IF(AND('Mapa final'!#REF!="Muy Baja",'Mapa final'!#REF!="Moderado"),CONCATENATE("R6C",'Mapa final'!#REF!),"")</f>
        <v>#REF!</v>
      </c>
      <c r="X51" s="63" t="e">
        <f>IF(AND('Mapa final'!#REF!="Muy Baja",'Mapa final'!#REF!="Moderado"),CONCATENATE("R6C",'Mapa final'!#REF!),"")</f>
        <v>#REF!</v>
      </c>
      <c r="Y51" s="63" t="str">
        <f ca="1">IF(AND('Mapa final'!$AA$30="Muy Baja",'Mapa final'!$AC$30="Moderado"),CONCATENATE("R6C",'Mapa final'!$Q$30),"")</f>
        <v/>
      </c>
      <c r="Z51" s="63" t="str">
        <f ca="1">IF(AND('Mapa final'!$AA$32="Muy Baja",'Mapa final'!$AC$32="Moderado"),CONCATENATE("R6C",'Mapa final'!$Q$32),"")</f>
        <v/>
      </c>
      <c r="AA51" s="64" t="e">
        <f>IF(AND('Mapa final'!#REF!="Muy Baja",'Mapa final'!#REF!="Moderado"),CONCATENATE("R6C",'Mapa final'!#REF!),"")</f>
        <v>#REF!</v>
      </c>
      <c r="AB51" s="47" t="str">
        <f>IF(AND('Mapa final'!$AA$29="Muy Baja",'Mapa final'!$AC$29="Mayor"),CONCATENATE("R6C",'Mapa final'!$Q$29),"")</f>
        <v/>
      </c>
      <c r="AC51" s="48" t="e">
        <f>IF(AND('Mapa final'!#REF!="Muy Baja",'Mapa final'!#REF!="Mayor"),CONCATENATE("R6C",'Mapa final'!#REF!),"")</f>
        <v>#REF!</v>
      </c>
      <c r="AD51" s="48" t="e">
        <f>IF(AND('Mapa final'!#REF!="Muy Baja",'Mapa final'!#REF!="Mayor"),CONCATENATE("R6C",'Mapa final'!#REF!),"")</f>
        <v>#REF!</v>
      </c>
      <c r="AE51" s="48" t="str">
        <f ca="1">IF(AND('Mapa final'!$AA$30="Muy Baja",'Mapa final'!$AC$30="Mayor"),CONCATENATE("R6C",'Mapa final'!$Q$30),"")</f>
        <v/>
      </c>
      <c r="AF51" s="48" t="str">
        <f ca="1">IF(AND('Mapa final'!$AA$32="Muy Baja",'Mapa final'!$AC$32="Mayor"),CONCATENATE("R6C",'Mapa final'!$Q$32),"")</f>
        <v/>
      </c>
      <c r="AG51" s="49" t="e">
        <f>IF(AND('Mapa final'!#REF!="Muy Baja",'Mapa final'!#REF!="Mayor"),CONCATENATE("R6C",'Mapa final'!#REF!),"")</f>
        <v>#REF!</v>
      </c>
      <c r="AH51" s="50" t="str">
        <f>IF(AND('Mapa final'!$AA$29="Muy Baja",'Mapa final'!$AC$29="Catastrófico"),CONCATENATE("R6C",'Mapa final'!$Q$29),"")</f>
        <v/>
      </c>
      <c r="AI51" s="51" t="e">
        <f>IF(AND('Mapa final'!#REF!="Muy Baja",'Mapa final'!#REF!="Catastrófico"),CONCATENATE("R6C",'Mapa final'!#REF!),"")</f>
        <v>#REF!</v>
      </c>
      <c r="AJ51" s="51" t="e">
        <f>IF(AND('Mapa final'!#REF!="Muy Baja",'Mapa final'!#REF!="Catastrófico"),CONCATENATE("R6C",'Mapa final'!#REF!),"")</f>
        <v>#REF!</v>
      </c>
      <c r="AK51" s="51" t="str">
        <f ca="1">IF(AND('Mapa final'!$AA$30="Muy Baja",'Mapa final'!$AC$30="Catastrófico"),CONCATENATE("R6C",'Mapa final'!$Q$30),"")</f>
        <v/>
      </c>
      <c r="AL51" s="51" t="str">
        <f ca="1">IF(AND('Mapa final'!$AA$32="Muy Baja",'Mapa final'!$AC$32="Catastrófico"),CONCATENATE("R6C",'Mapa final'!$Q$32),"")</f>
        <v/>
      </c>
      <c r="AM51" s="52" t="e">
        <f>IF(AND('Mapa final'!#REF!="Muy Baja",'Mapa final'!#REF!="Catastrófico"),CONCATENATE("R6C",'Mapa final'!#REF!),"")</f>
        <v>#REF!</v>
      </c>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row>
    <row r="52" spans="1:80" ht="15" customHeight="1" x14ac:dyDescent="0.35">
      <c r="A52" s="78"/>
      <c r="B52" s="321"/>
      <c r="C52" s="321"/>
      <c r="D52" s="322"/>
      <c r="E52" s="362"/>
      <c r="F52" s="363"/>
      <c r="G52" s="363"/>
      <c r="H52" s="363"/>
      <c r="I52" s="364"/>
      <c r="J52" s="71" t="e">
        <f>IF(AND('Mapa final'!#REF!="Muy Baja",'Mapa final'!#REF!="Leve"),CONCATENATE("R7C",'Mapa final'!#REF!),"")</f>
        <v>#REF!</v>
      </c>
      <c r="K52" s="72" t="str">
        <f ca="1">IF(AND('Mapa final'!$AA$34="Muy Baja",'Mapa final'!$AC$34="Leve"),CONCATENATE("R7C",'Mapa final'!$Q$34),"")</f>
        <v/>
      </c>
      <c r="L52" s="72" t="str">
        <f ca="1">IF(AND('Mapa final'!$AA$35="Muy Baja",'Mapa final'!$AC$35="Leve"),CONCATENATE("R7C",'Mapa final'!$Q$35),"")</f>
        <v/>
      </c>
      <c r="M52" s="72" t="e">
        <f>IF(AND('Mapa final'!#REF!="Muy Baja",'Mapa final'!#REF!="Leve"),CONCATENATE("R7C",'Mapa final'!#REF!),"")</f>
        <v>#REF!</v>
      </c>
      <c r="N52" s="72" t="e">
        <f>IF(AND('Mapa final'!#REF!="Muy Baja",'Mapa final'!#REF!="Leve"),CONCATENATE("R7C",'Mapa final'!#REF!),"")</f>
        <v>#REF!</v>
      </c>
      <c r="O52" s="73" t="e">
        <f>IF(AND('Mapa final'!#REF!="Muy Baja",'Mapa final'!#REF!="Leve"),CONCATENATE("R7C",'Mapa final'!#REF!),"")</f>
        <v>#REF!</v>
      </c>
      <c r="P52" s="71" t="e">
        <f>IF(AND('Mapa final'!#REF!="Muy Baja",'Mapa final'!#REF!="Menor"),CONCATENATE("R7C",'Mapa final'!#REF!),"")</f>
        <v>#REF!</v>
      </c>
      <c r="Q52" s="72" t="str">
        <f ca="1">IF(AND('Mapa final'!$AA$34="Muy Baja",'Mapa final'!$AC$34="Menor"),CONCATENATE("R7C",'Mapa final'!$Q$34),"")</f>
        <v/>
      </c>
      <c r="R52" s="72" t="str">
        <f ca="1">IF(AND('Mapa final'!$AA$35="Muy Baja",'Mapa final'!$AC$35="Menor"),CONCATENATE("R7C",'Mapa final'!$Q$35),"")</f>
        <v/>
      </c>
      <c r="S52" s="72" t="e">
        <f>IF(AND('Mapa final'!#REF!="Muy Baja",'Mapa final'!#REF!="Menor"),CONCATENATE("R7C",'Mapa final'!#REF!),"")</f>
        <v>#REF!</v>
      </c>
      <c r="T52" s="72" t="e">
        <f>IF(AND('Mapa final'!#REF!="Muy Baja",'Mapa final'!#REF!="Menor"),CONCATENATE("R7C",'Mapa final'!#REF!),"")</f>
        <v>#REF!</v>
      </c>
      <c r="U52" s="73" t="e">
        <f>IF(AND('Mapa final'!#REF!="Muy Baja",'Mapa final'!#REF!="Menor"),CONCATENATE("R7C",'Mapa final'!#REF!),"")</f>
        <v>#REF!</v>
      </c>
      <c r="V52" s="62" t="e">
        <f>IF(AND('Mapa final'!#REF!="Muy Baja",'Mapa final'!#REF!="Moderado"),CONCATENATE("R7C",'Mapa final'!#REF!),"")</f>
        <v>#REF!</v>
      </c>
      <c r="W52" s="63" t="str">
        <f ca="1">IF(AND('Mapa final'!$AA$34="Muy Baja",'Mapa final'!$AC$34="Moderado"),CONCATENATE("R7C",'Mapa final'!$Q$34),"")</f>
        <v/>
      </c>
      <c r="X52" s="63" t="str">
        <f ca="1">IF(AND('Mapa final'!$AA$35="Muy Baja",'Mapa final'!$AC$35="Moderado"),CONCATENATE("R7C",'Mapa final'!$Q$35),"")</f>
        <v/>
      </c>
      <c r="Y52" s="63" t="e">
        <f>IF(AND('Mapa final'!#REF!="Muy Baja",'Mapa final'!#REF!="Moderado"),CONCATENATE("R7C",'Mapa final'!#REF!),"")</f>
        <v>#REF!</v>
      </c>
      <c r="Z52" s="63" t="e">
        <f>IF(AND('Mapa final'!#REF!="Muy Baja",'Mapa final'!#REF!="Moderado"),CONCATENATE("R7C",'Mapa final'!#REF!),"")</f>
        <v>#REF!</v>
      </c>
      <c r="AA52" s="64" t="e">
        <f>IF(AND('Mapa final'!#REF!="Muy Baja",'Mapa final'!#REF!="Moderado"),CONCATENATE("R7C",'Mapa final'!#REF!),"")</f>
        <v>#REF!</v>
      </c>
      <c r="AB52" s="47" t="e">
        <f>IF(AND('Mapa final'!#REF!="Muy Baja",'Mapa final'!#REF!="Mayor"),CONCATENATE("R7C",'Mapa final'!#REF!),"")</f>
        <v>#REF!</v>
      </c>
      <c r="AC52" s="48" t="str">
        <f ca="1">IF(AND('Mapa final'!$AA$34="Muy Baja",'Mapa final'!$AC$34="Mayor"),CONCATENATE("R7C",'Mapa final'!$Q$34),"")</f>
        <v/>
      </c>
      <c r="AD52" s="48" t="str">
        <f ca="1">IF(AND('Mapa final'!$AA$35="Muy Baja",'Mapa final'!$AC$35="Mayor"),CONCATENATE("R7C",'Mapa final'!$Q$35),"")</f>
        <v/>
      </c>
      <c r="AE52" s="48" t="e">
        <f>IF(AND('Mapa final'!#REF!="Muy Baja",'Mapa final'!#REF!="Mayor"),CONCATENATE("R7C",'Mapa final'!#REF!),"")</f>
        <v>#REF!</v>
      </c>
      <c r="AF52" s="48" t="e">
        <f>IF(AND('Mapa final'!#REF!="Muy Baja",'Mapa final'!#REF!="Mayor"),CONCATENATE("R7C",'Mapa final'!#REF!),"")</f>
        <v>#REF!</v>
      </c>
      <c r="AG52" s="49" t="e">
        <f>IF(AND('Mapa final'!#REF!="Muy Baja",'Mapa final'!#REF!="Mayor"),CONCATENATE("R7C",'Mapa final'!#REF!),"")</f>
        <v>#REF!</v>
      </c>
      <c r="AH52" s="50" t="e">
        <f>IF(AND('Mapa final'!#REF!="Muy Baja",'Mapa final'!#REF!="Catastrófico"),CONCATENATE("R7C",'Mapa final'!#REF!),"")</f>
        <v>#REF!</v>
      </c>
      <c r="AI52" s="51" t="str">
        <f ca="1">IF(AND('Mapa final'!$AA$34="Muy Baja",'Mapa final'!$AC$34="Catastrófico"),CONCATENATE("R7C",'Mapa final'!$Q$34),"")</f>
        <v/>
      </c>
      <c r="AJ52" s="51" t="str">
        <f ca="1">IF(AND('Mapa final'!$AA$35="Muy Baja",'Mapa final'!$AC$35="Catastrófico"),CONCATENATE("R7C",'Mapa final'!$Q$35),"")</f>
        <v/>
      </c>
      <c r="AK52" s="51" t="e">
        <f>IF(AND('Mapa final'!#REF!="Muy Baja",'Mapa final'!#REF!="Catastrófico"),CONCATENATE("R7C",'Mapa final'!#REF!),"")</f>
        <v>#REF!</v>
      </c>
      <c r="AL52" s="51" t="e">
        <f>IF(AND('Mapa final'!#REF!="Muy Baja",'Mapa final'!#REF!="Catastrófico"),CONCATENATE("R7C",'Mapa final'!#REF!),"")</f>
        <v>#REF!</v>
      </c>
      <c r="AM52" s="52" t="e">
        <f>IF(AND('Mapa final'!#REF!="Muy Baja",'Mapa final'!#REF!="Catastrófico"),CONCATENATE("R7C",'Mapa final'!#REF!),"")</f>
        <v>#REF!</v>
      </c>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row>
    <row r="53" spans="1:80" ht="15" customHeight="1" x14ac:dyDescent="0.35">
      <c r="A53" s="78"/>
      <c r="B53" s="321"/>
      <c r="C53" s="321"/>
      <c r="D53" s="322"/>
      <c r="E53" s="362"/>
      <c r="F53" s="363"/>
      <c r="G53" s="363"/>
      <c r="H53" s="363"/>
      <c r="I53" s="364"/>
      <c r="J53" s="71" t="e">
        <f>IF(AND('Mapa final'!#REF!="Muy Baja",'Mapa final'!#REF!="Leve"),CONCATENATE("R8C",'Mapa final'!#REF!),"")</f>
        <v>#REF!</v>
      </c>
      <c r="K53" s="72" t="e">
        <f>IF(AND('Mapa final'!#REF!="Muy Baja",'Mapa final'!#REF!="Leve"),CONCATENATE("R8C",'Mapa final'!#REF!),"")</f>
        <v>#REF!</v>
      </c>
      <c r="L53" s="72" t="str">
        <f ca="1">IF(AND('Mapa final'!$AA$36="Muy Baja",'Mapa final'!$AC$36="Leve"),CONCATENATE("R8C",'Mapa final'!$Q$36),"")</f>
        <v/>
      </c>
      <c r="M53" s="72" t="str">
        <f ca="1">IF(AND('Mapa final'!$AA$37="Muy Baja",'Mapa final'!$AC$37="Leve"),CONCATENATE("R8C",'Mapa final'!$Q$37),"")</f>
        <v/>
      </c>
      <c r="N53" s="72" t="e">
        <f>IF(AND('Mapa final'!#REF!="Muy Baja",'Mapa final'!#REF!="Leve"),CONCATENATE("R8C",'Mapa final'!#REF!),"")</f>
        <v>#REF!</v>
      </c>
      <c r="O53" s="73" t="e">
        <f>IF(AND('Mapa final'!#REF!="Muy Baja",'Mapa final'!#REF!="Leve"),CONCATENATE("R8C",'Mapa final'!#REF!),"")</f>
        <v>#REF!</v>
      </c>
      <c r="P53" s="71" t="e">
        <f>IF(AND('Mapa final'!#REF!="Muy Baja",'Mapa final'!#REF!="Menor"),CONCATENATE("R8C",'Mapa final'!#REF!),"")</f>
        <v>#REF!</v>
      </c>
      <c r="Q53" s="72" t="e">
        <f>IF(AND('Mapa final'!#REF!="Muy Baja",'Mapa final'!#REF!="Menor"),CONCATENATE("R8C",'Mapa final'!#REF!),"")</f>
        <v>#REF!</v>
      </c>
      <c r="R53" s="72" t="str">
        <f ca="1">IF(AND('Mapa final'!$AA$36="Muy Baja",'Mapa final'!$AC$36="Menor"),CONCATENATE("R8C",'Mapa final'!$Q$36),"")</f>
        <v/>
      </c>
      <c r="S53" s="72" t="str">
        <f ca="1">IF(AND('Mapa final'!$AA$37="Muy Baja",'Mapa final'!$AC$37="Menor"),CONCATENATE("R8C",'Mapa final'!$Q$37),"")</f>
        <v/>
      </c>
      <c r="T53" s="72" t="e">
        <f>IF(AND('Mapa final'!#REF!="Muy Baja",'Mapa final'!#REF!="Menor"),CONCATENATE("R8C",'Mapa final'!#REF!),"")</f>
        <v>#REF!</v>
      </c>
      <c r="U53" s="73" t="e">
        <f>IF(AND('Mapa final'!#REF!="Muy Baja",'Mapa final'!#REF!="Menor"),CONCATENATE("R8C",'Mapa final'!#REF!),"")</f>
        <v>#REF!</v>
      </c>
      <c r="V53" s="62" t="e">
        <f>IF(AND('Mapa final'!#REF!="Muy Baja",'Mapa final'!#REF!="Moderado"),CONCATENATE("R8C",'Mapa final'!#REF!),"")</f>
        <v>#REF!</v>
      </c>
      <c r="W53" s="63" t="e">
        <f>IF(AND('Mapa final'!#REF!="Muy Baja",'Mapa final'!#REF!="Moderado"),CONCATENATE("R8C",'Mapa final'!#REF!),"")</f>
        <v>#REF!</v>
      </c>
      <c r="X53" s="63" t="str">
        <f ca="1">IF(AND('Mapa final'!$AA$36="Muy Baja",'Mapa final'!$AC$36="Moderado"),CONCATENATE("R8C",'Mapa final'!$Q$36),"")</f>
        <v/>
      </c>
      <c r="Y53" s="63" t="str">
        <f ca="1">IF(AND('Mapa final'!$AA$37="Muy Baja",'Mapa final'!$AC$37="Moderado"),CONCATENATE("R8C",'Mapa final'!$Q$37),"")</f>
        <v/>
      </c>
      <c r="Z53" s="63" t="e">
        <f>IF(AND('Mapa final'!#REF!="Muy Baja",'Mapa final'!#REF!="Moderado"),CONCATENATE("R8C",'Mapa final'!#REF!),"")</f>
        <v>#REF!</v>
      </c>
      <c r="AA53" s="64" t="e">
        <f>IF(AND('Mapa final'!#REF!="Muy Baja",'Mapa final'!#REF!="Moderado"),CONCATENATE("R8C",'Mapa final'!#REF!),"")</f>
        <v>#REF!</v>
      </c>
      <c r="AB53" s="47" t="e">
        <f>IF(AND('Mapa final'!#REF!="Muy Baja",'Mapa final'!#REF!="Mayor"),CONCATENATE("R8C",'Mapa final'!#REF!),"")</f>
        <v>#REF!</v>
      </c>
      <c r="AC53" s="48" t="e">
        <f>IF(AND('Mapa final'!#REF!="Muy Baja",'Mapa final'!#REF!="Mayor"),CONCATENATE("R8C",'Mapa final'!#REF!),"")</f>
        <v>#REF!</v>
      </c>
      <c r="AD53" s="48" t="str">
        <f ca="1">IF(AND('Mapa final'!$AA$36="Muy Baja",'Mapa final'!$AC$36="Mayor"),CONCATENATE("R8C",'Mapa final'!$Q$36),"")</f>
        <v/>
      </c>
      <c r="AE53" s="48" t="str">
        <f ca="1">IF(AND('Mapa final'!$AA$37="Muy Baja",'Mapa final'!$AC$37="Mayor"),CONCATENATE("R8C",'Mapa final'!$Q$37),"")</f>
        <v/>
      </c>
      <c r="AF53" s="48" t="e">
        <f>IF(AND('Mapa final'!#REF!="Muy Baja",'Mapa final'!#REF!="Mayor"),CONCATENATE("R8C",'Mapa final'!#REF!),"")</f>
        <v>#REF!</v>
      </c>
      <c r="AG53" s="49" t="e">
        <f>IF(AND('Mapa final'!#REF!="Muy Baja",'Mapa final'!#REF!="Mayor"),CONCATENATE("R8C",'Mapa final'!#REF!),"")</f>
        <v>#REF!</v>
      </c>
      <c r="AH53" s="50" t="e">
        <f>IF(AND('Mapa final'!#REF!="Muy Baja",'Mapa final'!#REF!="Catastrófico"),CONCATENATE("R8C",'Mapa final'!#REF!),"")</f>
        <v>#REF!</v>
      </c>
      <c r="AI53" s="51" t="e">
        <f>IF(AND('Mapa final'!#REF!="Muy Baja",'Mapa final'!#REF!="Catastrófico"),CONCATENATE("R8C",'Mapa final'!#REF!),"")</f>
        <v>#REF!</v>
      </c>
      <c r="AJ53" s="51" t="str">
        <f ca="1">IF(AND('Mapa final'!$AA$36="Muy Baja",'Mapa final'!$AC$36="Catastrófico"),CONCATENATE("R8C",'Mapa final'!$Q$36),"")</f>
        <v/>
      </c>
      <c r="AK53" s="51" t="str">
        <f ca="1">IF(AND('Mapa final'!$AA$37="Muy Baja",'Mapa final'!$AC$37="Catastrófico"),CONCATENATE("R8C",'Mapa final'!$Q$37),"")</f>
        <v/>
      </c>
      <c r="AL53" s="51" t="e">
        <f>IF(AND('Mapa final'!#REF!="Muy Baja",'Mapa final'!#REF!="Catastrófico"),CONCATENATE("R8C",'Mapa final'!#REF!),"")</f>
        <v>#REF!</v>
      </c>
      <c r="AM53" s="52" t="e">
        <f>IF(AND('Mapa final'!#REF!="Muy Baja",'Mapa final'!#REF!="Catastrófico"),CONCATENATE("R8C",'Mapa final'!#REF!),"")</f>
        <v>#REF!</v>
      </c>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row>
    <row r="54" spans="1:80" ht="15" customHeight="1" x14ac:dyDescent="0.35">
      <c r="A54" s="78"/>
      <c r="B54" s="321"/>
      <c r="C54" s="321"/>
      <c r="D54" s="322"/>
      <c r="E54" s="362"/>
      <c r="F54" s="363"/>
      <c r="G54" s="363"/>
      <c r="H54" s="363"/>
      <c r="I54" s="364"/>
      <c r="J54" s="71" t="str">
        <f>IF(AND('Mapa final'!$AA$38="Muy Baja",'Mapa final'!$AC$38="Leve"),CONCATENATE("R9C",'Mapa final'!$Q$38),"")</f>
        <v/>
      </c>
      <c r="K54" s="72" t="str">
        <f ca="1">IF(AND('Mapa final'!$AA$39="Muy Baja",'Mapa final'!$AC$39="Leve"),CONCATENATE("R9C",'Mapa final'!$Q$39),"")</f>
        <v/>
      </c>
      <c r="L54" s="72" t="e">
        <f>IF(AND('Mapa final'!#REF!="Muy Baja",'Mapa final'!#REF!="Leve"),CONCATENATE("R9C",'Mapa final'!#REF!),"")</f>
        <v>#REF!</v>
      </c>
      <c r="M54" s="72" t="str">
        <f ca="1">IF(AND('Mapa final'!$AA$40="Muy Baja",'Mapa final'!$AC$40="Leve"),CONCATENATE("R9C",'Mapa final'!$Q$40),"")</f>
        <v/>
      </c>
      <c r="N54" s="72" t="str">
        <f ca="1">IF(AND('Mapa final'!$AA$42="Muy Baja",'Mapa final'!$AC$42="Leve"),CONCATENATE("R9C",'Mapa final'!$Q$42),"")</f>
        <v/>
      </c>
      <c r="O54" s="73" t="str">
        <f ca="1">IF(AND('Mapa final'!$AA$43="Muy Baja",'Mapa final'!$AC$43="Leve"),CONCATENATE("R9C",'Mapa final'!$Q$43),"")</f>
        <v/>
      </c>
      <c r="P54" s="71" t="str">
        <f>IF(AND('Mapa final'!$AA$38="Muy Baja",'Mapa final'!$AC$38="Menor"),CONCATENATE("R9C",'Mapa final'!$Q$38),"")</f>
        <v/>
      </c>
      <c r="Q54" s="72" t="str">
        <f ca="1">IF(AND('Mapa final'!$AA$39="Muy Baja",'Mapa final'!$AC$39="Menor"),CONCATENATE("R9C",'Mapa final'!$Q$39),"")</f>
        <v/>
      </c>
      <c r="R54" s="72" t="e">
        <f>IF(AND('Mapa final'!#REF!="Muy Baja",'Mapa final'!#REF!="Menor"),CONCATENATE("R9C",'Mapa final'!#REF!),"")</f>
        <v>#REF!</v>
      </c>
      <c r="S54" s="72" t="str">
        <f ca="1">IF(AND('Mapa final'!$AA$40="Muy Baja",'Mapa final'!$AC$40="Menor"),CONCATENATE("R9C",'Mapa final'!$Q$40),"")</f>
        <v/>
      </c>
      <c r="T54" s="72" t="str">
        <f ca="1">IF(AND('Mapa final'!$AA$42="Muy Baja",'Mapa final'!$AC$42="Menor"),CONCATENATE("R9C",'Mapa final'!$Q$42),"")</f>
        <v/>
      </c>
      <c r="U54" s="73" t="str">
        <f ca="1">IF(AND('Mapa final'!$AA$43="Muy Baja",'Mapa final'!$AC$43="Menor"),CONCATENATE("R9C",'Mapa final'!$Q$43),"")</f>
        <v/>
      </c>
      <c r="V54" s="62" t="str">
        <f>IF(AND('Mapa final'!$AA$38="Muy Baja",'Mapa final'!$AC$38="Moderado"),CONCATENATE("R9C",'Mapa final'!$Q$38),"")</f>
        <v/>
      </c>
      <c r="W54" s="63" t="str">
        <f ca="1">IF(AND('Mapa final'!$AA$39="Muy Baja",'Mapa final'!$AC$39="Moderado"),CONCATENATE("R9C",'Mapa final'!$Q$39),"")</f>
        <v/>
      </c>
      <c r="X54" s="63" t="e">
        <f>IF(AND('Mapa final'!#REF!="Muy Baja",'Mapa final'!#REF!="Moderado"),CONCATENATE("R9C",'Mapa final'!#REF!),"")</f>
        <v>#REF!</v>
      </c>
      <c r="Y54" s="63" t="str">
        <f ca="1">IF(AND('Mapa final'!$AA$40="Muy Baja",'Mapa final'!$AC$40="Moderado"),CONCATENATE("R9C",'Mapa final'!$Q$40),"")</f>
        <v/>
      </c>
      <c r="Z54" s="63" t="str">
        <f ca="1">IF(AND('Mapa final'!$AA$42="Muy Baja",'Mapa final'!$AC$42="Moderado"),CONCATENATE("R9C",'Mapa final'!$Q$42),"")</f>
        <v/>
      </c>
      <c r="AA54" s="64" t="str">
        <f ca="1">IF(AND('Mapa final'!$AA$43="Muy Baja",'Mapa final'!$AC$43="Moderado"),CONCATENATE("R9C",'Mapa final'!$Q$43),"")</f>
        <v/>
      </c>
      <c r="AB54" s="47" t="str">
        <f>IF(AND('Mapa final'!$AA$38="Muy Baja",'Mapa final'!$AC$38="Mayor"),CONCATENATE("R9C",'Mapa final'!$Q$38),"")</f>
        <v/>
      </c>
      <c r="AC54" s="48" t="str">
        <f ca="1">IF(AND('Mapa final'!$AA$39="Muy Baja",'Mapa final'!$AC$39="Mayor"),CONCATENATE("R9C",'Mapa final'!$Q$39),"")</f>
        <v/>
      </c>
      <c r="AD54" s="48" t="e">
        <f>IF(AND('Mapa final'!#REF!="Muy Baja",'Mapa final'!#REF!="Mayor"),CONCATENATE("R9C",'Mapa final'!#REF!),"")</f>
        <v>#REF!</v>
      </c>
      <c r="AE54" s="48" t="str">
        <f ca="1">IF(AND('Mapa final'!$AA$40="Muy Baja",'Mapa final'!$AC$40="Mayor"),CONCATENATE("R9C",'Mapa final'!$Q$40),"")</f>
        <v/>
      </c>
      <c r="AF54" s="48" t="str">
        <f ca="1">IF(AND('Mapa final'!$AA$42="Muy Baja",'Mapa final'!$AC$42="Mayor"),CONCATENATE("R9C",'Mapa final'!$Q$42),"")</f>
        <v/>
      </c>
      <c r="AG54" s="49" t="str">
        <f ca="1">IF(AND('Mapa final'!$AA$43="Muy Baja",'Mapa final'!$AC$43="Mayor"),CONCATENATE("R9C",'Mapa final'!$Q$43),"")</f>
        <v/>
      </c>
      <c r="AH54" s="50" t="str">
        <f>IF(AND('Mapa final'!$AA$38="Muy Baja",'Mapa final'!$AC$38="Catastrófico"),CONCATENATE("R9C",'Mapa final'!$Q$38),"")</f>
        <v/>
      </c>
      <c r="AI54" s="51" t="str">
        <f ca="1">IF(AND('Mapa final'!$AA$39="Muy Baja",'Mapa final'!$AC$39="Catastrófico"),CONCATENATE("R9C",'Mapa final'!$Q$39),"")</f>
        <v/>
      </c>
      <c r="AJ54" s="51" t="e">
        <f>IF(AND('Mapa final'!#REF!="Muy Baja",'Mapa final'!#REF!="Catastrófico"),CONCATENATE("R9C",'Mapa final'!#REF!),"")</f>
        <v>#REF!</v>
      </c>
      <c r="AK54" s="51" t="str">
        <f ca="1">IF(AND('Mapa final'!$AA$40="Muy Baja",'Mapa final'!$AC$40="Catastrófico"),CONCATENATE("R9C",'Mapa final'!$Q$40),"")</f>
        <v/>
      </c>
      <c r="AL54" s="51" t="str">
        <f ca="1">IF(AND('Mapa final'!$AA$42="Muy Baja",'Mapa final'!$AC$42="Catastrófico"),CONCATENATE("R9C",'Mapa final'!$Q$42),"")</f>
        <v/>
      </c>
      <c r="AM54" s="52" t="str">
        <f ca="1">IF(AND('Mapa final'!$AA$43="Muy Baja",'Mapa final'!$AC$43="Catastrófico"),CONCATENATE("R9C",'Mapa final'!$Q$43),"")</f>
        <v/>
      </c>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row>
    <row r="55" spans="1:80" ht="15.75" customHeight="1" thickBot="1" x14ac:dyDescent="0.4">
      <c r="A55" s="78"/>
      <c r="B55" s="321"/>
      <c r="C55" s="321"/>
      <c r="D55" s="322"/>
      <c r="E55" s="365"/>
      <c r="F55" s="366"/>
      <c r="G55" s="366"/>
      <c r="H55" s="366"/>
      <c r="I55" s="367"/>
      <c r="J55" s="74" t="e">
        <f>IF(AND('Mapa final'!#REF!="Muy Baja",'Mapa final'!#REF!="Leve"),CONCATENATE("R10C",'Mapa final'!#REF!),"")</f>
        <v>#REF!</v>
      </c>
      <c r="K55" s="75" t="str">
        <f ca="1">IF(AND('Mapa final'!$AA$44="Muy Baja",'Mapa final'!$AC$44="Leve"),CONCATENATE("R10C",'Mapa final'!$Q$44),"")</f>
        <v/>
      </c>
      <c r="L55" s="75" t="e">
        <f>IF(AND('Mapa final'!#REF!="Muy Baja",'Mapa final'!#REF!="Leve"),CONCATENATE("R10C",'Mapa final'!#REF!),"")</f>
        <v>#REF!</v>
      </c>
      <c r="M55" s="75" t="e">
        <f>IF(AND('Mapa final'!#REF!="Muy Baja",'Mapa final'!#REF!="Leve"),CONCATENATE("R10C",'Mapa final'!#REF!),"")</f>
        <v>#REF!</v>
      </c>
      <c r="N55" s="75" t="e">
        <f>IF(AND('Mapa final'!#REF!="Muy Baja",'Mapa final'!#REF!="Leve"),CONCATENATE("R10C",'Mapa final'!#REF!),"")</f>
        <v>#REF!</v>
      </c>
      <c r="O55" s="76" t="e">
        <f>IF(AND('Mapa final'!#REF!="Muy Baja",'Mapa final'!#REF!="Leve"),CONCATENATE("R10C",'Mapa final'!#REF!),"")</f>
        <v>#REF!</v>
      </c>
      <c r="P55" s="74" t="e">
        <f>IF(AND('Mapa final'!#REF!="Muy Baja",'Mapa final'!#REF!="Menor"),CONCATENATE("R10C",'Mapa final'!#REF!),"")</f>
        <v>#REF!</v>
      </c>
      <c r="Q55" s="75" t="str">
        <f ca="1">IF(AND('Mapa final'!$AA$44="Muy Baja",'Mapa final'!$AC$44="Menor"),CONCATENATE("R10C",'Mapa final'!$Q$44),"")</f>
        <v/>
      </c>
      <c r="R55" s="75" t="e">
        <f>IF(AND('Mapa final'!#REF!="Muy Baja",'Mapa final'!#REF!="Menor"),CONCATENATE("R10C",'Mapa final'!#REF!),"")</f>
        <v>#REF!</v>
      </c>
      <c r="S55" s="75" t="e">
        <f>IF(AND('Mapa final'!#REF!="Muy Baja",'Mapa final'!#REF!="Menor"),CONCATENATE("R10C",'Mapa final'!#REF!),"")</f>
        <v>#REF!</v>
      </c>
      <c r="T55" s="75" t="e">
        <f>IF(AND('Mapa final'!#REF!="Muy Baja",'Mapa final'!#REF!="Menor"),CONCATENATE("R10C",'Mapa final'!#REF!),"")</f>
        <v>#REF!</v>
      </c>
      <c r="U55" s="76" t="e">
        <f>IF(AND('Mapa final'!#REF!="Muy Baja",'Mapa final'!#REF!="Menor"),CONCATENATE("R10C",'Mapa final'!#REF!),"")</f>
        <v>#REF!</v>
      </c>
      <c r="V55" s="65" t="e">
        <f>IF(AND('Mapa final'!#REF!="Muy Baja",'Mapa final'!#REF!="Moderado"),CONCATENATE("R10C",'Mapa final'!#REF!),"")</f>
        <v>#REF!</v>
      </c>
      <c r="W55" s="66" t="str">
        <f ca="1">IF(AND('Mapa final'!$AA$44="Muy Baja",'Mapa final'!$AC$44="Moderado"),CONCATENATE("R10C",'Mapa final'!$Q$44),"")</f>
        <v/>
      </c>
      <c r="X55" s="66" t="e">
        <f>IF(AND('Mapa final'!#REF!="Muy Baja",'Mapa final'!#REF!="Moderado"),CONCATENATE("R10C",'Mapa final'!#REF!),"")</f>
        <v>#REF!</v>
      </c>
      <c r="Y55" s="66" t="e">
        <f>IF(AND('Mapa final'!#REF!="Muy Baja",'Mapa final'!#REF!="Moderado"),CONCATENATE("R10C",'Mapa final'!#REF!),"")</f>
        <v>#REF!</v>
      </c>
      <c r="Z55" s="66" t="e">
        <f>IF(AND('Mapa final'!#REF!="Muy Baja",'Mapa final'!#REF!="Moderado"),CONCATENATE("R10C",'Mapa final'!#REF!),"")</f>
        <v>#REF!</v>
      </c>
      <c r="AA55" s="67" t="e">
        <f>IF(AND('Mapa final'!#REF!="Muy Baja",'Mapa final'!#REF!="Moderado"),CONCATENATE("R10C",'Mapa final'!#REF!),"")</f>
        <v>#REF!</v>
      </c>
      <c r="AB55" s="53" t="e">
        <f>IF(AND('Mapa final'!#REF!="Muy Baja",'Mapa final'!#REF!="Mayor"),CONCATENATE("R10C",'Mapa final'!#REF!),"")</f>
        <v>#REF!</v>
      </c>
      <c r="AC55" s="54" t="str">
        <f ca="1">IF(AND('Mapa final'!$AA$44="Muy Baja",'Mapa final'!$AC$44="Mayor"),CONCATENATE("R10C",'Mapa final'!$Q$44),"")</f>
        <v/>
      </c>
      <c r="AD55" s="54" t="e">
        <f>IF(AND('Mapa final'!#REF!="Muy Baja",'Mapa final'!#REF!="Mayor"),CONCATENATE("R10C",'Mapa final'!#REF!),"")</f>
        <v>#REF!</v>
      </c>
      <c r="AE55" s="54" t="e">
        <f>IF(AND('Mapa final'!#REF!="Muy Baja",'Mapa final'!#REF!="Mayor"),CONCATENATE("R10C",'Mapa final'!#REF!),"")</f>
        <v>#REF!</v>
      </c>
      <c r="AF55" s="54" t="e">
        <f>IF(AND('Mapa final'!#REF!="Muy Baja",'Mapa final'!#REF!="Mayor"),CONCATENATE("R10C",'Mapa final'!#REF!),"")</f>
        <v>#REF!</v>
      </c>
      <c r="AG55" s="55" t="e">
        <f>IF(AND('Mapa final'!#REF!="Muy Baja",'Mapa final'!#REF!="Mayor"),CONCATENATE("R10C",'Mapa final'!#REF!),"")</f>
        <v>#REF!</v>
      </c>
      <c r="AH55" s="56" t="e">
        <f>IF(AND('Mapa final'!#REF!="Muy Baja",'Mapa final'!#REF!="Catastrófico"),CONCATENATE("R10C",'Mapa final'!#REF!),"")</f>
        <v>#REF!</v>
      </c>
      <c r="AI55" s="57" t="str">
        <f ca="1">IF(AND('Mapa final'!$AA$44="Muy Baja",'Mapa final'!$AC$44="Catastrófico"),CONCATENATE("R10C",'Mapa final'!$Q$44),"")</f>
        <v/>
      </c>
      <c r="AJ55" s="57" t="e">
        <f>IF(AND('Mapa final'!#REF!="Muy Baja",'Mapa final'!#REF!="Catastrófico"),CONCATENATE("R10C",'Mapa final'!#REF!),"")</f>
        <v>#REF!</v>
      </c>
      <c r="AK55" s="57" t="e">
        <f>IF(AND('Mapa final'!#REF!="Muy Baja",'Mapa final'!#REF!="Catastrófico"),CONCATENATE("R10C",'Mapa final'!#REF!),"")</f>
        <v>#REF!</v>
      </c>
      <c r="AL55" s="57" t="e">
        <f>IF(AND('Mapa final'!#REF!="Muy Baja",'Mapa final'!#REF!="Catastrófico"),CONCATENATE("R10C",'Mapa final'!#REF!),"")</f>
        <v>#REF!</v>
      </c>
      <c r="AM55" s="58" t="e">
        <f>IF(AND('Mapa final'!#REF!="Muy Baja",'Mapa final'!#REF!="Catastrófico"),CONCATENATE("R10C",'Mapa final'!#REF!),"")</f>
        <v>#REF!</v>
      </c>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row>
    <row r="56" spans="1:80" x14ac:dyDescent="0.35">
      <c r="A56" s="78"/>
      <c r="B56" s="78"/>
      <c r="C56" s="78"/>
      <c r="D56" s="78"/>
      <c r="E56" s="78"/>
      <c r="F56" s="78"/>
      <c r="G56" s="78"/>
      <c r="H56" s="78"/>
      <c r="I56" s="78"/>
      <c r="J56" s="359" t="s">
        <v>111</v>
      </c>
      <c r="K56" s="360"/>
      <c r="L56" s="360"/>
      <c r="M56" s="360"/>
      <c r="N56" s="360"/>
      <c r="O56" s="361"/>
      <c r="P56" s="359" t="s">
        <v>110</v>
      </c>
      <c r="Q56" s="360"/>
      <c r="R56" s="360"/>
      <c r="S56" s="360"/>
      <c r="T56" s="360"/>
      <c r="U56" s="361"/>
      <c r="V56" s="359" t="s">
        <v>109</v>
      </c>
      <c r="W56" s="360"/>
      <c r="X56" s="360"/>
      <c r="Y56" s="360"/>
      <c r="Z56" s="360"/>
      <c r="AA56" s="361"/>
      <c r="AB56" s="359" t="s">
        <v>108</v>
      </c>
      <c r="AC56" s="368"/>
      <c r="AD56" s="360"/>
      <c r="AE56" s="360"/>
      <c r="AF56" s="360"/>
      <c r="AG56" s="361"/>
      <c r="AH56" s="359" t="s">
        <v>107</v>
      </c>
      <c r="AI56" s="360"/>
      <c r="AJ56" s="360"/>
      <c r="AK56" s="360"/>
      <c r="AL56" s="360"/>
      <c r="AM56" s="361"/>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row>
    <row r="57" spans="1:80" x14ac:dyDescent="0.35">
      <c r="A57" s="78"/>
      <c r="B57" s="78"/>
      <c r="C57" s="78"/>
      <c r="D57" s="78"/>
      <c r="E57" s="78"/>
      <c r="F57" s="78"/>
      <c r="G57" s="78"/>
      <c r="H57" s="78"/>
      <c r="I57" s="78"/>
      <c r="J57" s="362"/>
      <c r="K57" s="363"/>
      <c r="L57" s="363"/>
      <c r="M57" s="363"/>
      <c r="N57" s="363"/>
      <c r="O57" s="364"/>
      <c r="P57" s="362"/>
      <c r="Q57" s="363"/>
      <c r="R57" s="363"/>
      <c r="S57" s="363"/>
      <c r="T57" s="363"/>
      <c r="U57" s="364"/>
      <c r="V57" s="362"/>
      <c r="W57" s="363"/>
      <c r="X57" s="363"/>
      <c r="Y57" s="363"/>
      <c r="Z57" s="363"/>
      <c r="AA57" s="364"/>
      <c r="AB57" s="362"/>
      <c r="AC57" s="363"/>
      <c r="AD57" s="363"/>
      <c r="AE57" s="363"/>
      <c r="AF57" s="363"/>
      <c r="AG57" s="364"/>
      <c r="AH57" s="362"/>
      <c r="AI57" s="363"/>
      <c r="AJ57" s="363"/>
      <c r="AK57" s="363"/>
      <c r="AL57" s="363"/>
      <c r="AM57" s="364"/>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row>
    <row r="58" spans="1:80" x14ac:dyDescent="0.35">
      <c r="A58" s="78"/>
      <c r="B58" s="78"/>
      <c r="C58" s="78"/>
      <c r="D58" s="78"/>
      <c r="E58" s="78"/>
      <c r="F58" s="78"/>
      <c r="G58" s="78"/>
      <c r="H58" s="78"/>
      <c r="I58" s="78"/>
      <c r="J58" s="362"/>
      <c r="K58" s="363"/>
      <c r="L58" s="363"/>
      <c r="M58" s="363"/>
      <c r="N58" s="363"/>
      <c r="O58" s="364"/>
      <c r="P58" s="362"/>
      <c r="Q58" s="363"/>
      <c r="R58" s="363"/>
      <c r="S58" s="363"/>
      <c r="T58" s="363"/>
      <c r="U58" s="364"/>
      <c r="V58" s="362"/>
      <c r="W58" s="363"/>
      <c r="X58" s="363"/>
      <c r="Y58" s="363"/>
      <c r="Z58" s="363"/>
      <c r="AA58" s="364"/>
      <c r="AB58" s="362"/>
      <c r="AC58" s="363"/>
      <c r="AD58" s="363"/>
      <c r="AE58" s="363"/>
      <c r="AF58" s="363"/>
      <c r="AG58" s="364"/>
      <c r="AH58" s="362"/>
      <c r="AI58" s="363"/>
      <c r="AJ58" s="363"/>
      <c r="AK58" s="363"/>
      <c r="AL58" s="363"/>
      <c r="AM58" s="364"/>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row>
    <row r="59" spans="1:80" x14ac:dyDescent="0.35">
      <c r="A59" s="78"/>
      <c r="B59" s="78"/>
      <c r="C59" s="78"/>
      <c r="D59" s="78"/>
      <c r="E59" s="78"/>
      <c r="F59" s="78"/>
      <c r="G59" s="78"/>
      <c r="H59" s="78"/>
      <c r="I59" s="78"/>
      <c r="J59" s="362"/>
      <c r="K59" s="363"/>
      <c r="L59" s="363"/>
      <c r="M59" s="363"/>
      <c r="N59" s="363"/>
      <c r="O59" s="364"/>
      <c r="P59" s="362"/>
      <c r="Q59" s="363"/>
      <c r="R59" s="363"/>
      <c r="S59" s="363"/>
      <c r="T59" s="363"/>
      <c r="U59" s="364"/>
      <c r="V59" s="362"/>
      <c r="W59" s="363"/>
      <c r="X59" s="363"/>
      <c r="Y59" s="363"/>
      <c r="Z59" s="363"/>
      <c r="AA59" s="364"/>
      <c r="AB59" s="362"/>
      <c r="AC59" s="363"/>
      <c r="AD59" s="363"/>
      <c r="AE59" s="363"/>
      <c r="AF59" s="363"/>
      <c r="AG59" s="364"/>
      <c r="AH59" s="362"/>
      <c r="AI59" s="363"/>
      <c r="AJ59" s="363"/>
      <c r="AK59" s="363"/>
      <c r="AL59" s="363"/>
      <c r="AM59" s="364"/>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row>
    <row r="60" spans="1:80" x14ac:dyDescent="0.35">
      <c r="A60" s="78"/>
      <c r="B60" s="78"/>
      <c r="C60" s="78"/>
      <c r="D60" s="78"/>
      <c r="E60" s="78"/>
      <c r="F60" s="78"/>
      <c r="G60" s="78"/>
      <c r="H60" s="78"/>
      <c r="I60" s="78"/>
      <c r="J60" s="362"/>
      <c r="K60" s="363"/>
      <c r="L60" s="363"/>
      <c r="M60" s="363"/>
      <c r="N60" s="363"/>
      <c r="O60" s="364"/>
      <c r="P60" s="362"/>
      <c r="Q60" s="363"/>
      <c r="R60" s="363"/>
      <c r="S60" s="363"/>
      <c r="T60" s="363"/>
      <c r="U60" s="364"/>
      <c r="V60" s="362"/>
      <c r="W60" s="363"/>
      <c r="X60" s="363"/>
      <c r="Y60" s="363"/>
      <c r="Z60" s="363"/>
      <c r="AA60" s="364"/>
      <c r="AB60" s="362"/>
      <c r="AC60" s="363"/>
      <c r="AD60" s="363"/>
      <c r="AE60" s="363"/>
      <c r="AF60" s="363"/>
      <c r="AG60" s="364"/>
      <c r="AH60" s="362"/>
      <c r="AI60" s="363"/>
      <c r="AJ60" s="363"/>
      <c r="AK60" s="363"/>
      <c r="AL60" s="363"/>
      <c r="AM60" s="364"/>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row>
    <row r="61" spans="1:80" ht="15" thickBot="1" x14ac:dyDescent="0.4">
      <c r="A61" s="78"/>
      <c r="B61" s="78"/>
      <c r="C61" s="78"/>
      <c r="D61" s="78"/>
      <c r="E61" s="78"/>
      <c r="F61" s="78"/>
      <c r="G61" s="78"/>
      <c r="H61" s="78"/>
      <c r="I61" s="78"/>
      <c r="J61" s="365"/>
      <c r="K61" s="366"/>
      <c r="L61" s="366"/>
      <c r="M61" s="366"/>
      <c r="N61" s="366"/>
      <c r="O61" s="367"/>
      <c r="P61" s="365"/>
      <c r="Q61" s="366"/>
      <c r="R61" s="366"/>
      <c r="S61" s="366"/>
      <c r="T61" s="366"/>
      <c r="U61" s="367"/>
      <c r="V61" s="365"/>
      <c r="W61" s="366"/>
      <c r="X61" s="366"/>
      <c r="Y61" s="366"/>
      <c r="Z61" s="366"/>
      <c r="AA61" s="367"/>
      <c r="AB61" s="365"/>
      <c r="AC61" s="366"/>
      <c r="AD61" s="366"/>
      <c r="AE61" s="366"/>
      <c r="AF61" s="366"/>
      <c r="AG61" s="367"/>
      <c r="AH61" s="365"/>
      <c r="AI61" s="366"/>
      <c r="AJ61" s="366"/>
      <c r="AK61" s="366"/>
      <c r="AL61" s="366"/>
      <c r="AM61" s="367"/>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row>
    <row r="62" spans="1:80" x14ac:dyDescent="0.35">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row>
    <row r="63" spans="1:80" ht="15" customHeight="1" x14ac:dyDescent="0.35">
      <c r="A63" s="78"/>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78"/>
      <c r="AV63" s="78"/>
      <c r="AW63" s="78"/>
      <c r="AX63" s="78"/>
      <c r="AY63" s="78"/>
      <c r="AZ63" s="78"/>
      <c r="BA63" s="78"/>
      <c r="BB63" s="78"/>
      <c r="BC63" s="78"/>
      <c r="BD63" s="78"/>
      <c r="BE63" s="78"/>
      <c r="BF63" s="78"/>
      <c r="BG63" s="78"/>
      <c r="BH63" s="78"/>
    </row>
    <row r="64" spans="1:80" ht="15" customHeight="1" x14ac:dyDescent="0.35">
      <c r="A64" s="78"/>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78"/>
      <c r="AV64" s="78"/>
      <c r="AW64" s="78"/>
      <c r="AX64" s="78"/>
      <c r="AY64" s="78"/>
      <c r="AZ64" s="78"/>
      <c r="BA64" s="78"/>
      <c r="BB64" s="78"/>
      <c r="BC64" s="78"/>
      <c r="BD64" s="78"/>
      <c r="BE64" s="78"/>
      <c r="BF64" s="78"/>
      <c r="BG64" s="78"/>
      <c r="BH64" s="78"/>
    </row>
    <row r="65" spans="1:60" x14ac:dyDescent="0.35">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row>
    <row r="66" spans="1:60" x14ac:dyDescent="0.35">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row>
    <row r="67" spans="1:60" x14ac:dyDescent="0.35">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row>
    <row r="68" spans="1:60" x14ac:dyDescent="0.35">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row>
    <row r="69" spans="1:60" x14ac:dyDescent="0.35">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row>
    <row r="70" spans="1:60" x14ac:dyDescent="0.35">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row>
    <row r="71" spans="1:60" x14ac:dyDescent="0.35">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row>
    <row r="72" spans="1:60" x14ac:dyDescent="0.35">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row>
    <row r="73" spans="1:60" x14ac:dyDescent="0.35">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row>
    <row r="74" spans="1:60" x14ac:dyDescent="0.35">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row>
    <row r="75" spans="1:60" x14ac:dyDescent="0.35">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row>
    <row r="76" spans="1:60" x14ac:dyDescent="0.35">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row>
    <row r="77" spans="1:60" x14ac:dyDescent="0.35">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row>
    <row r="78" spans="1:60" x14ac:dyDescent="0.3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row>
    <row r="79" spans="1:60" x14ac:dyDescent="0.35">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row>
    <row r="80" spans="1:60" x14ac:dyDescent="0.35">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row>
    <row r="81" spans="1:60" x14ac:dyDescent="0.35">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row>
    <row r="82" spans="1:60" x14ac:dyDescent="0.35">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row>
    <row r="83" spans="1:60" x14ac:dyDescent="0.35">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row>
    <row r="84" spans="1:60" x14ac:dyDescent="0.35">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row>
    <row r="85" spans="1:60" x14ac:dyDescent="0.35">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row>
    <row r="86" spans="1:60" x14ac:dyDescent="0.35">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row>
    <row r="87" spans="1:60" x14ac:dyDescent="0.35">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row>
    <row r="88" spans="1:60" x14ac:dyDescent="0.35">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row>
    <row r="89" spans="1:60" x14ac:dyDescent="0.35">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row>
    <row r="90" spans="1:60" x14ac:dyDescent="0.35">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row>
    <row r="91" spans="1:60" x14ac:dyDescent="0.35">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row>
    <row r="92" spans="1:60" x14ac:dyDescent="0.35">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row>
    <row r="93" spans="1:60" x14ac:dyDescent="0.35">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row>
    <row r="94" spans="1:60" x14ac:dyDescent="0.35">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row>
    <row r="95" spans="1:60" x14ac:dyDescent="0.35">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row>
    <row r="96" spans="1:60" x14ac:dyDescent="0.35">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row>
    <row r="97" spans="1:60" x14ac:dyDescent="0.35">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row>
    <row r="98" spans="1:60" x14ac:dyDescent="0.35">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row>
    <row r="99" spans="1:60" x14ac:dyDescent="0.35">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row>
    <row r="100" spans="1:60" x14ac:dyDescent="0.35">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row>
    <row r="101" spans="1:60" x14ac:dyDescent="0.35">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row>
    <row r="102" spans="1:60" x14ac:dyDescent="0.3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row>
    <row r="103" spans="1:60" x14ac:dyDescent="0.35">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row>
    <row r="104" spans="1:60" x14ac:dyDescent="0.35">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row>
    <row r="105" spans="1:60" x14ac:dyDescent="0.35">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row>
    <row r="106" spans="1:60" x14ac:dyDescent="0.35">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row>
    <row r="107" spans="1:60" x14ac:dyDescent="0.35">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row>
    <row r="108" spans="1:60" x14ac:dyDescent="0.35">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row>
    <row r="109" spans="1:60" x14ac:dyDescent="0.35">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row>
    <row r="110" spans="1:60" x14ac:dyDescent="0.35">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row>
    <row r="111" spans="1:60" x14ac:dyDescent="0.35">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row>
    <row r="112" spans="1:60" x14ac:dyDescent="0.35">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row>
    <row r="113" spans="1:60" x14ac:dyDescent="0.35">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row>
    <row r="114" spans="1:60" x14ac:dyDescent="0.35">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row>
    <row r="115" spans="1:60" x14ac:dyDescent="0.35">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row>
    <row r="116" spans="1:60" x14ac:dyDescent="0.35">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row>
    <row r="117" spans="1:60" x14ac:dyDescent="0.3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row>
    <row r="118" spans="1:60" x14ac:dyDescent="0.35">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row>
    <row r="119" spans="1:60" x14ac:dyDescent="0.35">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row>
    <row r="120" spans="1:60" x14ac:dyDescent="0.35">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row>
    <row r="121" spans="1:60" x14ac:dyDescent="0.35">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row>
    <row r="122" spans="1:60" x14ac:dyDescent="0.35">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row>
    <row r="123" spans="1:60" x14ac:dyDescent="0.35">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row>
    <row r="124" spans="1:60" x14ac:dyDescent="0.35">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row>
    <row r="125" spans="1:60" x14ac:dyDescent="0.35">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row>
    <row r="126" spans="1:60" x14ac:dyDescent="0.35">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row>
    <row r="127" spans="1:60" x14ac:dyDescent="0.35">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row>
    <row r="128" spans="1:60" x14ac:dyDescent="0.35">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row>
    <row r="129" spans="1:60" x14ac:dyDescent="0.35">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row>
    <row r="130" spans="1:60" x14ac:dyDescent="0.35">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row>
    <row r="131" spans="1:60" x14ac:dyDescent="0.35">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row>
    <row r="132" spans="1:60" x14ac:dyDescent="0.35">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row>
    <row r="133" spans="1:60" x14ac:dyDescent="0.35">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row>
    <row r="134" spans="1:60" x14ac:dyDescent="0.35">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row>
    <row r="135" spans="1:60" x14ac:dyDescent="0.35">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row>
    <row r="136" spans="1:60" x14ac:dyDescent="0.35">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row>
    <row r="137" spans="1:60" x14ac:dyDescent="0.35">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row>
    <row r="138" spans="1:60" x14ac:dyDescent="0.35">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row>
    <row r="139" spans="1:60" x14ac:dyDescent="0.35">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row>
    <row r="140" spans="1:60" x14ac:dyDescent="0.35">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row>
    <row r="141" spans="1:60" x14ac:dyDescent="0.35">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row>
    <row r="142" spans="1:60" x14ac:dyDescent="0.35">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row>
    <row r="143" spans="1:60" x14ac:dyDescent="0.35">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row>
    <row r="144" spans="1:60" x14ac:dyDescent="0.35">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row>
    <row r="145" spans="1:60" x14ac:dyDescent="0.35">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row>
    <row r="146" spans="1:60" x14ac:dyDescent="0.35">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row>
    <row r="147" spans="1:60" x14ac:dyDescent="0.35">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row>
    <row r="148" spans="1:60" x14ac:dyDescent="0.35">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row>
    <row r="149" spans="1:60" x14ac:dyDescent="0.35">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row>
    <row r="150" spans="1:60" x14ac:dyDescent="0.35">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row>
    <row r="151" spans="1:60" x14ac:dyDescent="0.35">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row>
    <row r="152" spans="1:60" x14ac:dyDescent="0.35">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row>
    <row r="153" spans="1:60" x14ac:dyDescent="0.35">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row>
    <row r="154" spans="1:60" x14ac:dyDescent="0.35">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row>
    <row r="155" spans="1:60" x14ac:dyDescent="0.35">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row>
    <row r="156" spans="1:60" x14ac:dyDescent="0.35">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row>
    <row r="157" spans="1:60" x14ac:dyDescent="0.35">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row>
    <row r="158" spans="1:60" x14ac:dyDescent="0.35">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row>
    <row r="159" spans="1:60" x14ac:dyDescent="0.35">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row>
    <row r="160" spans="1:60" x14ac:dyDescent="0.35">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row>
    <row r="161" spans="1:60" x14ac:dyDescent="0.35">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row>
    <row r="162" spans="1:60" x14ac:dyDescent="0.35">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row>
    <row r="163" spans="1:60" x14ac:dyDescent="0.35">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row>
    <row r="164" spans="1:60" x14ac:dyDescent="0.35">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row>
    <row r="165" spans="1:60" x14ac:dyDescent="0.35">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row>
    <row r="166" spans="1:60" x14ac:dyDescent="0.35">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row>
    <row r="167" spans="1:60" x14ac:dyDescent="0.35">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row>
    <row r="168" spans="1:60" x14ac:dyDescent="0.35">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row>
    <row r="169" spans="1:60" x14ac:dyDescent="0.35">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row>
    <row r="170" spans="1:60" x14ac:dyDescent="0.35">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row>
    <row r="171" spans="1:60" x14ac:dyDescent="0.35">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row>
    <row r="172" spans="1:60" x14ac:dyDescent="0.35">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row>
    <row r="173" spans="1:60" x14ac:dyDescent="0.35">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row>
    <row r="174" spans="1:60" x14ac:dyDescent="0.35">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row>
    <row r="175" spans="1:60" x14ac:dyDescent="0.35">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row>
    <row r="176" spans="1:60" x14ac:dyDescent="0.35">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row>
    <row r="177" spans="1:60" x14ac:dyDescent="0.35">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row>
    <row r="178" spans="1:60" x14ac:dyDescent="0.35">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row>
    <row r="179" spans="1:60" x14ac:dyDescent="0.35">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row>
    <row r="180" spans="1:60" x14ac:dyDescent="0.35">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row>
    <row r="181" spans="1:60" x14ac:dyDescent="0.35">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row>
    <row r="182" spans="1:60" x14ac:dyDescent="0.35">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row>
    <row r="183" spans="1:60" x14ac:dyDescent="0.35">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row>
    <row r="184" spans="1:60" x14ac:dyDescent="0.35">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row>
    <row r="185" spans="1:60" x14ac:dyDescent="0.35">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row>
    <row r="186" spans="1:60" x14ac:dyDescent="0.35">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row>
    <row r="187" spans="1:60" x14ac:dyDescent="0.35">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row>
    <row r="188" spans="1:60" x14ac:dyDescent="0.35">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row>
    <row r="189" spans="1:60" x14ac:dyDescent="0.35">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row>
    <row r="190" spans="1:60" x14ac:dyDescent="0.35">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row>
    <row r="191" spans="1:60" x14ac:dyDescent="0.35">
      <c r="A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row>
    <row r="192" spans="1:60" x14ac:dyDescent="0.35">
      <c r="A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row>
    <row r="193" spans="1:60" x14ac:dyDescent="0.35">
      <c r="A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row>
    <row r="194" spans="1:60" x14ac:dyDescent="0.35">
      <c r="A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row>
    <row r="195" spans="1:60" x14ac:dyDescent="0.35">
      <c r="A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row>
    <row r="196" spans="1:60" x14ac:dyDescent="0.35">
      <c r="A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row>
    <row r="197" spans="1:60" x14ac:dyDescent="0.35">
      <c r="A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row>
    <row r="198" spans="1:60" x14ac:dyDescent="0.35">
      <c r="A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row>
    <row r="199" spans="1:60" x14ac:dyDescent="0.35">
      <c r="A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row>
    <row r="200" spans="1:60" x14ac:dyDescent="0.35">
      <c r="A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row>
    <row r="201" spans="1:60" x14ac:dyDescent="0.35">
      <c r="A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row>
    <row r="202" spans="1:60" x14ac:dyDescent="0.35">
      <c r="A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row>
    <row r="203" spans="1:60" x14ac:dyDescent="0.35">
      <c r="A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row>
    <row r="204" spans="1:60" x14ac:dyDescent="0.35">
      <c r="A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row>
    <row r="205" spans="1:60" x14ac:dyDescent="0.35">
      <c r="A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row>
    <row r="206" spans="1:60" x14ac:dyDescent="0.35">
      <c r="A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row>
    <row r="207" spans="1:60" x14ac:dyDescent="0.35">
      <c r="A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row>
    <row r="208" spans="1:60" x14ac:dyDescent="0.35">
      <c r="A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row>
    <row r="209" spans="1:60" x14ac:dyDescent="0.35">
      <c r="A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row>
    <row r="210" spans="1:60" x14ac:dyDescent="0.35">
      <c r="A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row>
    <row r="211" spans="1:60" x14ac:dyDescent="0.35">
      <c r="A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row>
    <row r="212" spans="1:60" x14ac:dyDescent="0.35">
      <c r="A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row>
    <row r="213" spans="1:60" x14ac:dyDescent="0.35">
      <c r="A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row>
    <row r="214" spans="1:60" x14ac:dyDescent="0.35">
      <c r="A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row>
    <row r="215" spans="1:60" x14ac:dyDescent="0.35">
      <c r="A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row>
    <row r="216" spans="1:60" x14ac:dyDescent="0.35">
      <c r="A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row>
    <row r="217" spans="1:60" x14ac:dyDescent="0.35">
      <c r="A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row>
    <row r="218" spans="1:60" x14ac:dyDescent="0.35">
      <c r="A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row>
    <row r="219" spans="1:60" x14ac:dyDescent="0.35">
      <c r="A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row>
    <row r="220" spans="1:60" x14ac:dyDescent="0.35">
      <c r="A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row>
    <row r="221" spans="1:60" x14ac:dyDescent="0.35">
      <c r="A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row>
    <row r="222" spans="1:60" x14ac:dyDescent="0.35">
      <c r="A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row>
    <row r="223" spans="1:60" x14ac:dyDescent="0.35">
      <c r="A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row>
    <row r="224" spans="1:60" x14ac:dyDescent="0.35">
      <c r="A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row>
    <row r="225" spans="1:60" x14ac:dyDescent="0.35">
      <c r="A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row>
    <row r="226" spans="1:60" x14ac:dyDescent="0.35">
      <c r="A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row>
    <row r="227" spans="1:60" x14ac:dyDescent="0.35">
      <c r="A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row>
    <row r="228" spans="1:60" x14ac:dyDescent="0.35">
      <c r="A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row>
    <row r="229" spans="1:60" x14ac:dyDescent="0.35">
      <c r="A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row>
    <row r="230" spans="1:60" x14ac:dyDescent="0.35">
      <c r="A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row>
    <row r="231" spans="1:60" x14ac:dyDescent="0.35">
      <c r="A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row>
    <row r="232" spans="1:60" x14ac:dyDescent="0.35">
      <c r="A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row>
    <row r="233" spans="1:60" x14ac:dyDescent="0.35">
      <c r="A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row>
    <row r="234" spans="1:60" x14ac:dyDescent="0.35">
      <c r="A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row>
    <row r="235" spans="1:60" x14ac:dyDescent="0.35">
      <c r="A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row>
    <row r="236" spans="1:60" x14ac:dyDescent="0.35">
      <c r="A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row>
    <row r="237" spans="1:60" x14ac:dyDescent="0.35">
      <c r="A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row>
    <row r="238" spans="1:60" x14ac:dyDescent="0.35">
      <c r="A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row>
    <row r="239" spans="1:60" x14ac:dyDescent="0.35">
      <c r="A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row>
    <row r="240" spans="1:60" x14ac:dyDescent="0.35">
      <c r="A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row>
    <row r="241" spans="1:60" x14ac:dyDescent="0.35">
      <c r="A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row>
    <row r="242" spans="1:60" x14ac:dyDescent="0.35">
      <c r="A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row>
    <row r="243" spans="1:60" x14ac:dyDescent="0.35">
      <c r="A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row>
    <row r="244" spans="1:60" x14ac:dyDescent="0.35">
      <c r="A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row>
    <row r="245" spans="1:60" x14ac:dyDescent="0.35">
      <c r="A245" s="78"/>
    </row>
    <row r="246" spans="1:60" x14ac:dyDescent="0.35">
      <c r="A246" s="78"/>
    </row>
    <row r="247" spans="1:60" x14ac:dyDescent="0.35">
      <c r="A247" s="78"/>
    </row>
    <row r="248" spans="1:60" x14ac:dyDescent="0.35">
      <c r="A248" s="78"/>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7" sqref="C7"/>
    </sheetView>
  </sheetViews>
  <sheetFormatPr baseColWidth="10" defaultRowHeight="14.5" x14ac:dyDescent="0.35"/>
  <cols>
    <col min="2" max="2" width="24.1796875" customWidth="1"/>
    <col min="3" max="3" width="70.1796875" customWidth="1"/>
    <col min="4" max="4" width="29.81640625" customWidth="1"/>
  </cols>
  <sheetData>
    <row r="1" spans="1:37" ht="22.5" x14ac:dyDescent="0.35">
      <c r="A1" s="78"/>
      <c r="B1" s="408" t="s">
        <v>54</v>
      </c>
      <c r="C1" s="408"/>
      <c r="D1" s="408"/>
      <c r="E1" s="78"/>
      <c r="F1" s="78"/>
      <c r="G1" s="78"/>
      <c r="H1" s="78"/>
      <c r="I1" s="78"/>
      <c r="J1" s="78"/>
      <c r="K1" s="78"/>
      <c r="L1" s="78"/>
      <c r="M1" s="78"/>
      <c r="N1" s="78"/>
      <c r="O1" s="78"/>
      <c r="P1" s="78"/>
      <c r="Q1" s="78"/>
      <c r="R1" s="78"/>
      <c r="S1" s="78"/>
      <c r="T1" s="78"/>
      <c r="U1" s="78"/>
      <c r="V1" s="78"/>
      <c r="W1" s="78"/>
      <c r="X1" s="78"/>
      <c r="Y1" s="78"/>
      <c r="Z1" s="78"/>
      <c r="AA1" s="78"/>
      <c r="AB1" s="78"/>
      <c r="AC1" s="78"/>
      <c r="AD1" s="78"/>
      <c r="AE1" s="78"/>
    </row>
    <row r="2" spans="1:37" x14ac:dyDescent="0.3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row>
    <row r="3" spans="1:37" ht="25" x14ac:dyDescent="0.35">
      <c r="A3" s="78"/>
      <c r="B3" s="9"/>
      <c r="C3" s="10" t="s">
        <v>51</v>
      </c>
      <c r="D3" s="10" t="s">
        <v>4</v>
      </c>
      <c r="E3" s="78"/>
      <c r="F3" s="78"/>
      <c r="G3" s="78"/>
      <c r="H3" s="78"/>
      <c r="I3" s="78"/>
      <c r="J3" s="78"/>
      <c r="K3" s="78"/>
      <c r="L3" s="78"/>
      <c r="M3" s="78"/>
      <c r="N3" s="78"/>
      <c r="O3" s="78"/>
      <c r="P3" s="78"/>
      <c r="Q3" s="78"/>
      <c r="R3" s="78"/>
      <c r="S3" s="78"/>
      <c r="T3" s="78"/>
      <c r="U3" s="78"/>
      <c r="V3" s="78"/>
      <c r="W3" s="78"/>
      <c r="X3" s="78"/>
      <c r="Y3" s="78"/>
      <c r="Z3" s="78"/>
      <c r="AA3" s="78"/>
      <c r="AB3" s="78"/>
      <c r="AC3" s="78"/>
      <c r="AD3" s="78"/>
      <c r="AE3" s="78"/>
    </row>
    <row r="4" spans="1:37" ht="50" x14ac:dyDescent="0.35">
      <c r="A4" s="78"/>
      <c r="B4" s="11" t="s">
        <v>50</v>
      </c>
      <c r="C4" s="12" t="s">
        <v>101</v>
      </c>
      <c r="D4" s="13">
        <v>0.2</v>
      </c>
      <c r="E4" s="78"/>
      <c r="F4" s="78"/>
      <c r="G4" s="78"/>
      <c r="H4" s="78"/>
      <c r="I4" s="78"/>
      <c r="J4" s="78"/>
      <c r="K4" s="78"/>
      <c r="L4" s="78"/>
      <c r="M4" s="78"/>
      <c r="N4" s="78"/>
      <c r="O4" s="78"/>
      <c r="P4" s="78"/>
      <c r="Q4" s="78"/>
      <c r="R4" s="78"/>
      <c r="S4" s="78"/>
      <c r="T4" s="78"/>
      <c r="U4" s="78"/>
      <c r="V4" s="78"/>
      <c r="W4" s="78"/>
      <c r="X4" s="78"/>
      <c r="Y4" s="78"/>
      <c r="Z4" s="78"/>
      <c r="AA4" s="78"/>
      <c r="AB4" s="78"/>
      <c r="AC4" s="78"/>
      <c r="AD4" s="78"/>
      <c r="AE4" s="78"/>
    </row>
    <row r="5" spans="1:37" ht="50" x14ac:dyDescent="0.35">
      <c r="A5" s="78"/>
      <c r="B5" s="14" t="s">
        <v>52</v>
      </c>
      <c r="C5" s="15" t="s">
        <v>102</v>
      </c>
      <c r="D5" s="16">
        <v>0.4</v>
      </c>
      <c r="E5" s="78"/>
      <c r="F5" s="78"/>
      <c r="G5" s="78"/>
      <c r="H5" s="78"/>
      <c r="I5" s="78"/>
      <c r="J5" s="78"/>
      <c r="K5" s="78"/>
      <c r="L5" s="78"/>
      <c r="M5" s="78"/>
      <c r="N5" s="78"/>
      <c r="O5" s="78"/>
      <c r="P5" s="78"/>
      <c r="Q5" s="78"/>
      <c r="R5" s="78"/>
      <c r="S5" s="78"/>
      <c r="T5" s="78"/>
      <c r="U5" s="78"/>
      <c r="V5" s="78"/>
      <c r="W5" s="78"/>
      <c r="X5" s="78"/>
      <c r="Y5" s="78"/>
      <c r="Z5" s="78"/>
      <c r="AA5" s="78"/>
      <c r="AB5" s="78"/>
      <c r="AC5" s="78"/>
      <c r="AD5" s="78"/>
      <c r="AE5" s="78"/>
    </row>
    <row r="6" spans="1:37" ht="50" x14ac:dyDescent="0.35">
      <c r="A6" s="78"/>
      <c r="B6" s="17" t="s">
        <v>106</v>
      </c>
      <c r="C6" s="15" t="s">
        <v>103</v>
      </c>
      <c r="D6" s="16">
        <v>0.6</v>
      </c>
      <c r="E6" s="78"/>
      <c r="F6" s="78"/>
      <c r="G6" s="78"/>
      <c r="H6" s="78"/>
      <c r="I6" s="78"/>
      <c r="J6" s="78"/>
      <c r="K6" s="78"/>
      <c r="L6" s="78"/>
      <c r="M6" s="78"/>
      <c r="N6" s="78"/>
      <c r="O6" s="78"/>
      <c r="P6" s="78"/>
      <c r="Q6" s="78"/>
      <c r="R6" s="78"/>
      <c r="S6" s="78"/>
      <c r="T6" s="78"/>
      <c r="U6" s="78"/>
      <c r="V6" s="78"/>
      <c r="W6" s="78"/>
      <c r="X6" s="78"/>
      <c r="Y6" s="78"/>
      <c r="Z6" s="78"/>
      <c r="AA6" s="78"/>
      <c r="AB6" s="78"/>
      <c r="AC6" s="78"/>
      <c r="AD6" s="78"/>
      <c r="AE6" s="78"/>
    </row>
    <row r="7" spans="1:37" ht="75" x14ac:dyDescent="0.35">
      <c r="A7" s="78"/>
      <c r="B7" s="18" t="s">
        <v>6</v>
      </c>
      <c r="C7" s="15" t="s">
        <v>104</v>
      </c>
      <c r="D7" s="16">
        <v>0.8</v>
      </c>
      <c r="E7" s="78"/>
      <c r="F7" s="78"/>
      <c r="G7" s="78"/>
      <c r="H7" s="78"/>
      <c r="I7" s="78"/>
      <c r="J7" s="78"/>
      <c r="K7" s="78"/>
      <c r="L7" s="78"/>
      <c r="M7" s="78"/>
      <c r="N7" s="78"/>
      <c r="O7" s="78"/>
      <c r="P7" s="78"/>
      <c r="Q7" s="78"/>
      <c r="R7" s="78"/>
      <c r="S7" s="78"/>
      <c r="T7" s="78"/>
      <c r="U7" s="78"/>
      <c r="V7" s="78"/>
      <c r="W7" s="78"/>
      <c r="X7" s="78"/>
      <c r="Y7" s="78"/>
      <c r="Z7" s="78"/>
      <c r="AA7" s="78"/>
      <c r="AB7" s="78"/>
      <c r="AC7" s="78"/>
      <c r="AD7" s="78"/>
      <c r="AE7" s="78"/>
    </row>
    <row r="8" spans="1:37" ht="50" x14ac:dyDescent="0.35">
      <c r="A8" s="78"/>
      <c r="B8" s="19" t="s">
        <v>53</v>
      </c>
      <c r="C8" s="15" t="s">
        <v>105</v>
      </c>
      <c r="D8" s="16">
        <v>1</v>
      </c>
      <c r="E8" s="78"/>
      <c r="F8" s="78"/>
      <c r="G8" s="78"/>
      <c r="H8" s="78"/>
      <c r="I8" s="78"/>
      <c r="J8" s="78"/>
      <c r="K8" s="78"/>
      <c r="L8" s="78"/>
      <c r="M8" s="78"/>
      <c r="N8" s="78"/>
      <c r="O8" s="78"/>
      <c r="P8" s="78"/>
      <c r="Q8" s="78"/>
      <c r="R8" s="78"/>
      <c r="S8" s="78"/>
      <c r="T8" s="78"/>
      <c r="U8" s="78"/>
      <c r="V8" s="78"/>
      <c r="W8" s="78"/>
      <c r="X8" s="78"/>
      <c r="Y8" s="78"/>
      <c r="Z8" s="78"/>
      <c r="AA8" s="78"/>
      <c r="AB8" s="78"/>
      <c r="AC8" s="78"/>
      <c r="AD8" s="78"/>
      <c r="AE8" s="78"/>
    </row>
    <row r="9" spans="1:37" x14ac:dyDescent="0.35">
      <c r="A9" s="78"/>
      <c r="B9" s="102"/>
      <c r="C9" s="102"/>
      <c r="D9" s="102"/>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row>
    <row r="10" spans="1:37" x14ac:dyDescent="0.35">
      <c r="A10" s="78"/>
      <c r="B10" s="103"/>
      <c r="C10" s="102"/>
      <c r="D10" s="102"/>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row>
    <row r="11" spans="1:37" x14ac:dyDescent="0.35">
      <c r="A11" s="78"/>
      <c r="B11" s="102"/>
      <c r="C11" s="102"/>
      <c r="D11" s="102"/>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row>
    <row r="12" spans="1:37" x14ac:dyDescent="0.35">
      <c r="A12" s="78"/>
      <c r="B12" s="102"/>
      <c r="C12" s="102"/>
      <c r="D12" s="102"/>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row>
    <row r="13" spans="1:37" x14ac:dyDescent="0.35">
      <c r="A13" s="78"/>
      <c r="B13" s="102"/>
      <c r="C13" s="102"/>
      <c r="D13" s="102"/>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row>
    <row r="14" spans="1:37" x14ac:dyDescent="0.35">
      <c r="A14" s="78"/>
      <c r="B14" s="102"/>
      <c r="C14" s="102"/>
      <c r="D14" s="102"/>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row>
    <row r="15" spans="1:37" x14ac:dyDescent="0.35">
      <c r="A15" s="78"/>
      <c r="B15" s="102"/>
      <c r="C15" s="102"/>
      <c r="D15" s="102"/>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row>
    <row r="16" spans="1:37" x14ac:dyDescent="0.35">
      <c r="A16" s="78"/>
      <c r="B16" s="102"/>
      <c r="C16" s="102"/>
      <c r="D16" s="102"/>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row>
    <row r="17" spans="1:37" x14ac:dyDescent="0.35">
      <c r="A17" s="78"/>
      <c r="B17" s="102"/>
      <c r="C17" s="102"/>
      <c r="D17" s="102"/>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row>
    <row r="18" spans="1:37" x14ac:dyDescent="0.35">
      <c r="A18" s="78"/>
      <c r="B18" s="102"/>
      <c r="C18" s="102"/>
      <c r="D18" s="102"/>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row>
    <row r="19" spans="1:37" x14ac:dyDescent="0.35">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row>
    <row r="20" spans="1:37" x14ac:dyDescent="0.35">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row>
    <row r="21" spans="1:37" x14ac:dyDescent="0.35">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row>
    <row r="22" spans="1:37" x14ac:dyDescent="0.35">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row>
    <row r="23" spans="1:37" x14ac:dyDescent="0.35">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row>
    <row r="24" spans="1:37" x14ac:dyDescent="0.3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row>
    <row r="25" spans="1:37" x14ac:dyDescent="0.35">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row>
    <row r="26" spans="1:37" x14ac:dyDescent="0.35">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row>
    <row r="27" spans="1:37" x14ac:dyDescent="0.35">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row>
    <row r="28" spans="1:37" x14ac:dyDescent="0.35">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row>
    <row r="29" spans="1:37" x14ac:dyDescent="0.35">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row>
    <row r="30" spans="1:37" x14ac:dyDescent="0.35">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row>
    <row r="31" spans="1:37" x14ac:dyDescent="0.35">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row>
    <row r="32" spans="1:37" x14ac:dyDescent="0.35">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row>
    <row r="33" spans="1:31" x14ac:dyDescent="0.35">
      <c r="A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row>
    <row r="34" spans="1:31" x14ac:dyDescent="0.35">
      <c r="A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row>
    <row r="35" spans="1:31" x14ac:dyDescent="0.35">
      <c r="A35" s="78"/>
    </row>
    <row r="36" spans="1:31" x14ac:dyDescent="0.35">
      <c r="A36" s="78"/>
    </row>
    <row r="37" spans="1:31" x14ac:dyDescent="0.35">
      <c r="A37" s="78"/>
    </row>
    <row r="38" spans="1:31" x14ac:dyDescent="0.35">
      <c r="A38" s="78"/>
    </row>
    <row r="39" spans="1:31" x14ac:dyDescent="0.35">
      <c r="A39" s="78"/>
    </row>
    <row r="40" spans="1:31" x14ac:dyDescent="0.35">
      <c r="A40" s="78"/>
    </row>
    <row r="41" spans="1:31" x14ac:dyDescent="0.35">
      <c r="A41" s="78"/>
    </row>
    <row r="42" spans="1:31" x14ac:dyDescent="0.35">
      <c r="A42" s="78"/>
    </row>
    <row r="43" spans="1:31" x14ac:dyDescent="0.35">
      <c r="A43" s="78"/>
    </row>
    <row r="44" spans="1:31" x14ac:dyDescent="0.35">
      <c r="A44" s="78"/>
    </row>
    <row r="45" spans="1:31" x14ac:dyDescent="0.35">
      <c r="A45" s="78"/>
    </row>
    <row r="46" spans="1:31" x14ac:dyDescent="0.35">
      <c r="A46" s="78"/>
    </row>
    <row r="47" spans="1:31" x14ac:dyDescent="0.35">
      <c r="A47" s="78"/>
    </row>
    <row r="48" spans="1:31" x14ac:dyDescent="0.35">
      <c r="A48" s="78"/>
    </row>
    <row r="49" spans="1:1" x14ac:dyDescent="0.35">
      <c r="A49" s="78"/>
    </row>
    <row r="50" spans="1:1" x14ac:dyDescent="0.35">
      <c r="A50" s="78"/>
    </row>
    <row r="51" spans="1:1" x14ac:dyDescent="0.35">
      <c r="A51" s="78"/>
    </row>
    <row r="52" spans="1:1" x14ac:dyDescent="0.35">
      <c r="A52" s="78"/>
    </row>
    <row r="53" spans="1:1" x14ac:dyDescent="0.35">
      <c r="A53" s="78"/>
    </row>
    <row r="54" spans="1:1" x14ac:dyDescent="0.35">
      <c r="A54" s="78"/>
    </row>
    <row r="55" spans="1:1" x14ac:dyDescent="0.35">
      <c r="A55" s="78"/>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D6" sqref="D6"/>
    </sheetView>
  </sheetViews>
  <sheetFormatPr baseColWidth="10" defaultRowHeight="14.5" x14ac:dyDescent="0.35"/>
  <cols>
    <col min="2" max="2" width="40.453125" customWidth="1"/>
    <col min="3" max="3" width="74.81640625" customWidth="1"/>
    <col min="4" max="4" width="135" bestFit="1" customWidth="1"/>
    <col min="5" max="5" width="144.7265625" bestFit="1" customWidth="1"/>
  </cols>
  <sheetData>
    <row r="1" spans="1:21" ht="32.5" x14ac:dyDescent="0.35">
      <c r="A1" s="78"/>
      <c r="B1" s="409" t="s">
        <v>62</v>
      </c>
      <c r="C1" s="409"/>
      <c r="D1" s="409"/>
      <c r="E1" s="78"/>
      <c r="F1" s="78"/>
      <c r="G1" s="78"/>
      <c r="H1" s="78"/>
      <c r="I1" s="78"/>
      <c r="J1" s="78"/>
      <c r="K1" s="78"/>
      <c r="L1" s="78"/>
      <c r="M1" s="78"/>
      <c r="N1" s="78"/>
      <c r="O1" s="78"/>
      <c r="P1" s="78"/>
      <c r="Q1" s="78"/>
      <c r="R1" s="78"/>
      <c r="S1" s="78"/>
      <c r="T1" s="78"/>
      <c r="U1" s="78"/>
    </row>
    <row r="2" spans="1:21" x14ac:dyDescent="0.35">
      <c r="A2" s="78"/>
      <c r="B2" s="78"/>
      <c r="C2" s="78"/>
      <c r="D2" s="78"/>
      <c r="E2" s="78"/>
      <c r="F2" s="78"/>
      <c r="G2" s="78"/>
      <c r="H2" s="78"/>
      <c r="I2" s="78"/>
      <c r="J2" s="78"/>
      <c r="K2" s="78"/>
      <c r="L2" s="78"/>
      <c r="M2" s="78"/>
      <c r="N2" s="78"/>
      <c r="O2" s="78"/>
      <c r="P2" s="78"/>
      <c r="Q2" s="78"/>
      <c r="R2" s="78"/>
      <c r="S2" s="78"/>
      <c r="T2" s="78"/>
      <c r="U2" s="78"/>
    </row>
    <row r="3" spans="1:21" ht="30.5" x14ac:dyDescent="0.35">
      <c r="A3" s="78"/>
      <c r="B3" s="99"/>
      <c r="C3" s="31" t="s">
        <v>55</v>
      </c>
      <c r="D3" s="31" t="s">
        <v>56</v>
      </c>
      <c r="E3" s="78"/>
      <c r="F3" s="78"/>
      <c r="G3" s="78"/>
      <c r="H3" s="78"/>
      <c r="I3" s="78"/>
      <c r="J3" s="78"/>
      <c r="K3" s="78"/>
      <c r="L3" s="78"/>
      <c r="M3" s="78"/>
      <c r="N3" s="78"/>
      <c r="O3" s="78"/>
      <c r="P3" s="78"/>
      <c r="Q3" s="78"/>
      <c r="R3" s="78"/>
      <c r="S3" s="78"/>
      <c r="T3" s="78"/>
      <c r="U3" s="78"/>
    </row>
    <row r="4" spans="1:21" ht="32.5" x14ac:dyDescent="0.35">
      <c r="A4" s="98" t="s">
        <v>82</v>
      </c>
      <c r="B4" s="34" t="s">
        <v>100</v>
      </c>
      <c r="C4" s="39" t="s">
        <v>156</v>
      </c>
      <c r="D4" s="32" t="s">
        <v>96</v>
      </c>
      <c r="E4" s="78"/>
      <c r="F4" s="78"/>
      <c r="G4" s="78"/>
      <c r="H4" s="78"/>
      <c r="I4" s="78"/>
      <c r="J4" s="78"/>
      <c r="K4" s="78"/>
      <c r="L4" s="78"/>
      <c r="M4" s="78"/>
      <c r="N4" s="78"/>
      <c r="O4" s="78"/>
      <c r="P4" s="78"/>
      <c r="Q4" s="78"/>
      <c r="R4" s="78"/>
      <c r="S4" s="78"/>
      <c r="T4" s="78"/>
      <c r="U4" s="78"/>
    </row>
    <row r="5" spans="1:21" ht="65" x14ac:dyDescent="0.35">
      <c r="A5" s="98" t="s">
        <v>83</v>
      </c>
      <c r="B5" s="35" t="s">
        <v>58</v>
      </c>
      <c r="C5" s="40" t="s">
        <v>92</v>
      </c>
      <c r="D5" s="33" t="s">
        <v>97</v>
      </c>
      <c r="E5" s="78"/>
      <c r="F5" s="78"/>
      <c r="G5" s="78"/>
      <c r="H5" s="78"/>
      <c r="I5" s="78"/>
      <c r="J5" s="78"/>
      <c r="K5" s="78"/>
      <c r="L5" s="78"/>
      <c r="M5" s="78"/>
      <c r="N5" s="78"/>
      <c r="O5" s="78"/>
      <c r="P5" s="78"/>
      <c r="Q5" s="78"/>
      <c r="R5" s="78"/>
      <c r="S5" s="78"/>
      <c r="T5" s="78"/>
      <c r="U5" s="78"/>
    </row>
    <row r="6" spans="1:21" ht="65" x14ac:dyDescent="0.35">
      <c r="A6" s="98" t="s">
        <v>80</v>
      </c>
      <c r="B6" s="36" t="s">
        <v>59</v>
      </c>
      <c r="C6" s="40" t="s">
        <v>93</v>
      </c>
      <c r="D6" s="33" t="s">
        <v>99</v>
      </c>
      <c r="E6" s="78"/>
      <c r="F6" s="78"/>
      <c r="G6" s="78"/>
      <c r="H6" s="78"/>
      <c r="I6" s="78"/>
      <c r="J6" s="78"/>
      <c r="K6" s="78"/>
      <c r="L6" s="78"/>
      <c r="M6" s="78"/>
      <c r="N6" s="78"/>
      <c r="O6" s="78"/>
      <c r="P6" s="78"/>
      <c r="Q6" s="78"/>
      <c r="R6" s="78"/>
      <c r="S6" s="78"/>
      <c r="T6" s="78"/>
      <c r="U6" s="78"/>
    </row>
    <row r="7" spans="1:21" ht="65" x14ac:dyDescent="0.35">
      <c r="A7" s="98" t="s">
        <v>7</v>
      </c>
      <c r="B7" s="37" t="s">
        <v>60</v>
      </c>
      <c r="C7" s="40" t="s">
        <v>94</v>
      </c>
      <c r="D7" s="33" t="s">
        <v>98</v>
      </c>
      <c r="E7" s="78"/>
      <c r="F7" s="78"/>
      <c r="G7" s="78"/>
      <c r="H7" s="78"/>
      <c r="I7" s="78"/>
      <c r="J7" s="78"/>
      <c r="K7" s="78"/>
      <c r="L7" s="78"/>
      <c r="M7" s="78"/>
      <c r="N7" s="78"/>
      <c r="O7" s="78"/>
      <c r="P7" s="78"/>
      <c r="Q7" s="78"/>
      <c r="R7" s="78"/>
      <c r="S7" s="78"/>
      <c r="T7" s="78"/>
      <c r="U7" s="78"/>
    </row>
    <row r="8" spans="1:21" ht="65" x14ac:dyDescent="0.35">
      <c r="A8" s="98" t="s">
        <v>84</v>
      </c>
      <c r="B8" s="38" t="s">
        <v>61</v>
      </c>
      <c r="C8" s="40" t="s">
        <v>95</v>
      </c>
      <c r="D8" s="33" t="s">
        <v>117</v>
      </c>
      <c r="E8" s="78"/>
      <c r="F8" s="78"/>
      <c r="G8" s="78"/>
      <c r="H8" s="78"/>
      <c r="I8" s="78"/>
      <c r="J8" s="78"/>
      <c r="K8" s="78"/>
      <c r="L8" s="78"/>
      <c r="M8" s="78"/>
      <c r="N8" s="78"/>
      <c r="O8" s="78"/>
      <c r="P8" s="78"/>
      <c r="Q8" s="78"/>
      <c r="R8" s="78"/>
      <c r="S8" s="78"/>
      <c r="T8" s="78"/>
      <c r="U8" s="78"/>
    </row>
    <row r="9" spans="1:21" ht="20" x14ac:dyDescent="0.35">
      <c r="A9" s="98"/>
      <c r="B9" s="98"/>
      <c r="C9" s="100"/>
      <c r="D9" s="100"/>
      <c r="E9" s="78"/>
      <c r="F9" s="78"/>
      <c r="G9" s="78"/>
      <c r="H9" s="78"/>
      <c r="I9" s="78"/>
      <c r="J9" s="78"/>
      <c r="K9" s="78"/>
      <c r="L9" s="78"/>
      <c r="M9" s="78"/>
      <c r="N9" s="78"/>
      <c r="O9" s="78"/>
      <c r="P9" s="78"/>
      <c r="Q9" s="78"/>
      <c r="R9" s="78"/>
      <c r="S9" s="78"/>
      <c r="T9" s="78"/>
      <c r="U9" s="78"/>
    </row>
    <row r="10" spans="1:21" x14ac:dyDescent="0.35">
      <c r="A10" s="98"/>
      <c r="B10" s="101"/>
      <c r="C10" s="101"/>
      <c r="D10" s="101"/>
      <c r="E10" s="78"/>
      <c r="F10" s="78"/>
      <c r="G10" s="78"/>
      <c r="H10" s="78"/>
      <c r="I10" s="78"/>
      <c r="J10" s="78"/>
      <c r="K10" s="78"/>
      <c r="L10" s="78"/>
      <c r="M10" s="78"/>
      <c r="N10" s="78"/>
      <c r="O10" s="78"/>
      <c r="P10" s="78"/>
      <c r="Q10" s="78"/>
      <c r="R10" s="78"/>
      <c r="S10" s="78"/>
      <c r="T10" s="78"/>
      <c r="U10" s="78"/>
    </row>
    <row r="11" spans="1:21" x14ac:dyDescent="0.35">
      <c r="A11" s="98"/>
      <c r="B11" s="98" t="s">
        <v>90</v>
      </c>
      <c r="C11" s="98" t="s">
        <v>144</v>
      </c>
      <c r="D11" s="98" t="s">
        <v>151</v>
      </c>
      <c r="E11" s="78"/>
      <c r="F11" s="78"/>
      <c r="G11" s="78"/>
      <c r="H11" s="78"/>
      <c r="I11" s="78"/>
      <c r="J11" s="78"/>
      <c r="K11" s="78"/>
      <c r="L11" s="78"/>
      <c r="M11" s="78"/>
      <c r="N11" s="78"/>
      <c r="O11" s="78"/>
      <c r="P11" s="78"/>
      <c r="Q11" s="78"/>
      <c r="R11" s="78"/>
      <c r="S11" s="78"/>
      <c r="T11" s="78"/>
      <c r="U11" s="78"/>
    </row>
    <row r="12" spans="1:21" x14ac:dyDescent="0.35">
      <c r="A12" s="98"/>
      <c r="B12" s="98" t="s">
        <v>88</v>
      </c>
      <c r="C12" s="98" t="s">
        <v>148</v>
      </c>
      <c r="D12" s="98" t="s">
        <v>152</v>
      </c>
      <c r="E12" s="78"/>
      <c r="F12" s="78"/>
      <c r="G12" s="78"/>
      <c r="H12" s="78"/>
      <c r="I12" s="78"/>
      <c r="J12" s="78"/>
      <c r="K12" s="78"/>
      <c r="L12" s="78"/>
      <c r="M12" s="78"/>
      <c r="N12" s="78"/>
      <c r="O12" s="78"/>
      <c r="P12" s="78"/>
      <c r="Q12" s="78"/>
      <c r="R12" s="78"/>
      <c r="S12" s="78"/>
      <c r="T12" s="78"/>
      <c r="U12" s="78"/>
    </row>
    <row r="13" spans="1:21" x14ac:dyDescent="0.35">
      <c r="A13" s="98"/>
      <c r="B13" s="98"/>
      <c r="C13" s="98" t="s">
        <v>147</v>
      </c>
      <c r="D13" s="98" t="s">
        <v>153</v>
      </c>
      <c r="E13" s="78"/>
      <c r="F13" s="78"/>
      <c r="G13" s="78"/>
      <c r="H13" s="78"/>
      <c r="I13" s="78"/>
      <c r="J13" s="78"/>
      <c r="K13" s="78"/>
      <c r="L13" s="78"/>
      <c r="M13" s="78"/>
      <c r="N13" s="78"/>
      <c r="O13" s="78"/>
      <c r="P13" s="78"/>
      <c r="Q13" s="78"/>
      <c r="R13" s="78"/>
      <c r="S13" s="78"/>
      <c r="T13" s="78"/>
      <c r="U13" s="78"/>
    </row>
    <row r="14" spans="1:21" x14ac:dyDescent="0.35">
      <c r="A14" s="98"/>
      <c r="B14" s="98"/>
      <c r="C14" s="98" t="s">
        <v>149</v>
      </c>
      <c r="D14" s="98" t="s">
        <v>154</v>
      </c>
      <c r="E14" s="78"/>
      <c r="F14" s="78"/>
      <c r="G14" s="78"/>
      <c r="H14" s="78"/>
      <c r="I14" s="78"/>
      <c r="J14" s="78"/>
      <c r="K14" s="78"/>
      <c r="L14" s="78"/>
      <c r="M14" s="78"/>
      <c r="N14" s="78"/>
      <c r="O14" s="78"/>
      <c r="P14" s="78"/>
      <c r="Q14" s="78"/>
      <c r="R14" s="78"/>
      <c r="S14" s="78"/>
      <c r="T14" s="78"/>
      <c r="U14" s="78"/>
    </row>
    <row r="15" spans="1:21" x14ac:dyDescent="0.35">
      <c r="A15" s="98"/>
      <c r="B15" s="98"/>
      <c r="C15" s="98" t="s">
        <v>150</v>
      </c>
      <c r="D15" s="98" t="s">
        <v>155</v>
      </c>
      <c r="E15" s="78"/>
      <c r="F15" s="78"/>
      <c r="G15" s="78"/>
      <c r="H15" s="78"/>
      <c r="I15" s="78"/>
      <c r="J15" s="78"/>
      <c r="K15" s="78"/>
      <c r="L15" s="78"/>
      <c r="M15" s="78"/>
      <c r="N15" s="78"/>
      <c r="O15" s="78"/>
      <c r="P15" s="78"/>
      <c r="Q15" s="78"/>
      <c r="R15" s="78"/>
      <c r="S15" s="78"/>
      <c r="T15" s="78"/>
      <c r="U15" s="78"/>
    </row>
    <row r="16" spans="1:21" x14ac:dyDescent="0.35">
      <c r="A16" s="98"/>
      <c r="B16" s="98"/>
      <c r="C16" s="98"/>
      <c r="D16" s="98"/>
      <c r="E16" s="78"/>
      <c r="F16" s="78"/>
      <c r="G16" s="78"/>
      <c r="H16" s="78"/>
      <c r="I16" s="78"/>
      <c r="J16" s="78"/>
      <c r="K16" s="78"/>
      <c r="L16" s="78"/>
      <c r="M16" s="78"/>
      <c r="N16" s="78"/>
      <c r="O16" s="78"/>
    </row>
    <row r="17" spans="1:15" x14ac:dyDescent="0.35">
      <c r="A17" s="98"/>
      <c r="B17" s="98"/>
      <c r="C17" s="98"/>
      <c r="D17" s="98"/>
      <c r="E17" s="78"/>
      <c r="F17" s="78"/>
      <c r="G17" s="78"/>
      <c r="H17" s="78"/>
      <c r="I17" s="78"/>
      <c r="J17" s="78"/>
      <c r="K17" s="78"/>
      <c r="L17" s="78"/>
      <c r="M17" s="78"/>
      <c r="N17" s="78"/>
      <c r="O17" s="78"/>
    </row>
    <row r="18" spans="1:15" x14ac:dyDescent="0.35">
      <c r="A18" s="98"/>
      <c r="B18" s="102"/>
      <c r="C18" s="102"/>
      <c r="D18" s="102"/>
      <c r="E18" s="78"/>
      <c r="F18" s="78"/>
      <c r="G18" s="78"/>
      <c r="H18" s="78"/>
      <c r="I18" s="78"/>
      <c r="J18" s="78"/>
      <c r="K18" s="78"/>
      <c r="L18" s="78"/>
      <c r="M18" s="78"/>
      <c r="N18" s="78"/>
      <c r="O18" s="78"/>
    </row>
    <row r="19" spans="1:15" x14ac:dyDescent="0.35">
      <c r="A19" s="98"/>
      <c r="B19" s="102"/>
      <c r="C19" s="102"/>
      <c r="D19" s="102"/>
      <c r="E19" s="78"/>
      <c r="F19" s="78"/>
      <c r="G19" s="78"/>
      <c r="H19" s="78"/>
      <c r="I19" s="78"/>
      <c r="J19" s="78"/>
      <c r="K19" s="78"/>
      <c r="L19" s="78"/>
      <c r="M19" s="78"/>
      <c r="N19" s="78"/>
      <c r="O19" s="78"/>
    </row>
    <row r="20" spans="1:15" x14ac:dyDescent="0.35">
      <c r="A20" s="98"/>
      <c r="B20" s="102"/>
      <c r="C20" s="102"/>
      <c r="D20" s="102"/>
      <c r="E20" s="78"/>
      <c r="F20" s="78"/>
      <c r="G20" s="78"/>
      <c r="H20" s="78"/>
      <c r="I20" s="78"/>
      <c r="J20" s="78"/>
      <c r="K20" s="78"/>
      <c r="L20" s="78"/>
      <c r="M20" s="78"/>
      <c r="N20" s="78"/>
      <c r="O20" s="78"/>
    </row>
    <row r="21" spans="1:15" x14ac:dyDescent="0.35">
      <c r="A21" s="98"/>
      <c r="B21" s="102"/>
      <c r="C21" s="102"/>
      <c r="D21" s="102"/>
      <c r="E21" s="78"/>
      <c r="F21" s="78"/>
      <c r="G21" s="78"/>
      <c r="H21" s="78"/>
      <c r="I21" s="78"/>
      <c r="J21" s="78"/>
      <c r="K21" s="78"/>
      <c r="L21" s="78"/>
      <c r="M21" s="78"/>
      <c r="N21" s="78"/>
      <c r="O21" s="78"/>
    </row>
    <row r="22" spans="1:15" ht="20" x14ac:dyDescent="0.35">
      <c r="A22" s="98"/>
      <c r="B22" s="98"/>
      <c r="C22" s="100"/>
      <c r="D22" s="100"/>
      <c r="E22" s="78"/>
      <c r="F22" s="78"/>
      <c r="G22" s="78"/>
      <c r="H22" s="78"/>
      <c r="I22" s="78"/>
      <c r="J22" s="78"/>
      <c r="K22" s="78"/>
      <c r="L22" s="78"/>
      <c r="M22" s="78"/>
      <c r="N22" s="78"/>
      <c r="O22" s="78"/>
    </row>
    <row r="23" spans="1:15" ht="20" x14ac:dyDescent="0.35">
      <c r="A23" s="98"/>
      <c r="B23" s="98"/>
      <c r="C23" s="100"/>
      <c r="D23" s="100"/>
      <c r="E23" s="78"/>
      <c r="F23" s="78"/>
      <c r="G23" s="78"/>
      <c r="H23" s="78"/>
      <c r="I23" s="78"/>
      <c r="J23" s="78"/>
      <c r="K23" s="78"/>
      <c r="L23" s="78"/>
      <c r="M23" s="78"/>
      <c r="N23" s="78"/>
      <c r="O23" s="78"/>
    </row>
    <row r="24" spans="1:15" ht="20" x14ac:dyDescent="0.35">
      <c r="A24" s="98"/>
      <c r="B24" s="98"/>
      <c r="C24" s="100"/>
      <c r="D24" s="100"/>
      <c r="E24" s="78"/>
      <c r="F24" s="78"/>
      <c r="G24" s="78"/>
      <c r="H24" s="78"/>
      <c r="I24" s="78"/>
      <c r="J24" s="78"/>
      <c r="K24" s="78"/>
      <c r="L24" s="78"/>
      <c r="M24" s="78"/>
      <c r="N24" s="78"/>
      <c r="O24" s="78"/>
    </row>
    <row r="25" spans="1:15" ht="20" x14ac:dyDescent="0.35">
      <c r="A25" s="98"/>
      <c r="B25" s="98"/>
      <c r="C25" s="100"/>
      <c r="D25" s="100"/>
      <c r="E25" s="78"/>
      <c r="F25" s="78"/>
      <c r="G25" s="78"/>
      <c r="H25" s="78"/>
      <c r="I25" s="78"/>
      <c r="J25" s="78"/>
      <c r="K25" s="78"/>
      <c r="L25" s="78"/>
      <c r="M25" s="78"/>
      <c r="N25" s="78"/>
      <c r="O25" s="78"/>
    </row>
    <row r="26" spans="1:15" ht="20" x14ac:dyDescent="0.35">
      <c r="A26" s="98"/>
      <c r="B26" s="98"/>
      <c r="C26" s="100"/>
      <c r="D26" s="100"/>
      <c r="E26" s="78"/>
      <c r="F26" s="78"/>
      <c r="G26" s="78"/>
      <c r="H26" s="78"/>
      <c r="I26" s="78"/>
      <c r="J26" s="78"/>
      <c r="K26" s="78"/>
      <c r="L26" s="78"/>
      <c r="M26" s="78"/>
      <c r="N26" s="78"/>
      <c r="O26" s="78"/>
    </row>
    <row r="27" spans="1:15" ht="20" x14ac:dyDescent="0.35">
      <c r="A27" s="98"/>
      <c r="B27" s="98"/>
      <c r="C27" s="100"/>
      <c r="D27" s="100"/>
      <c r="E27" s="78"/>
      <c r="F27" s="78"/>
      <c r="G27" s="78"/>
      <c r="H27" s="78"/>
      <c r="I27" s="78"/>
      <c r="J27" s="78"/>
      <c r="K27" s="78"/>
      <c r="L27" s="78"/>
      <c r="M27" s="78"/>
      <c r="N27" s="78"/>
      <c r="O27" s="78"/>
    </row>
    <row r="28" spans="1:15" ht="20" x14ac:dyDescent="0.35">
      <c r="A28" s="98"/>
      <c r="B28" s="98"/>
      <c r="C28" s="100"/>
      <c r="D28" s="100"/>
      <c r="E28" s="78"/>
      <c r="F28" s="78"/>
      <c r="G28" s="78"/>
      <c r="H28" s="78"/>
      <c r="I28" s="78"/>
      <c r="J28" s="78"/>
      <c r="K28" s="78"/>
      <c r="L28" s="78"/>
      <c r="M28" s="78"/>
      <c r="N28" s="78"/>
      <c r="O28" s="78"/>
    </row>
    <row r="29" spans="1:15" ht="20" x14ac:dyDescent="0.35">
      <c r="A29" s="98"/>
      <c r="B29" s="98"/>
      <c r="C29" s="100"/>
      <c r="D29" s="100"/>
      <c r="E29" s="78"/>
      <c r="F29" s="78"/>
      <c r="G29" s="78"/>
      <c r="H29" s="78"/>
      <c r="I29" s="78"/>
      <c r="J29" s="78"/>
      <c r="K29" s="78"/>
      <c r="L29" s="78"/>
      <c r="M29" s="78"/>
      <c r="N29" s="78"/>
      <c r="O29" s="78"/>
    </row>
    <row r="30" spans="1:15" ht="20" x14ac:dyDescent="0.35">
      <c r="A30" s="98"/>
      <c r="B30" s="98"/>
      <c r="C30" s="100"/>
      <c r="D30" s="100"/>
      <c r="E30" s="78"/>
      <c r="F30" s="78"/>
      <c r="G30" s="78"/>
      <c r="H30" s="78"/>
      <c r="I30" s="78"/>
      <c r="J30" s="78"/>
      <c r="K30" s="78"/>
      <c r="L30" s="78"/>
      <c r="M30" s="78"/>
      <c r="N30" s="78"/>
      <c r="O30" s="78"/>
    </row>
    <row r="31" spans="1:15" ht="20" x14ac:dyDescent="0.35">
      <c r="A31" s="98"/>
      <c r="B31" s="98"/>
      <c r="C31" s="100"/>
      <c r="D31" s="100"/>
      <c r="E31" s="78"/>
      <c r="F31" s="78"/>
      <c r="G31" s="78"/>
      <c r="H31" s="78"/>
      <c r="I31" s="78"/>
      <c r="J31" s="78"/>
      <c r="K31" s="78"/>
      <c r="L31" s="78"/>
      <c r="M31" s="78"/>
      <c r="N31" s="78"/>
      <c r="O31" s="78"/>
    </row>
    <row r="32" spans="1:15" ht="20" x14ac:dyDescent="0.35">
      <c r="A32" s="98"/>
      <c r="B32" s="98"/>
      <c r="C32" s="100"/>
      <c r="D32" s="100"/>
      <c r="E32" s="78"/>
      <c r="F32" s="78"/>
      <c r="G32" s="78"/>
      <c r="H32" s="78"/>
      <c r="I32" s="78"/>
      <c r="J32" s="78"/>
      <c r="K32" s="78"/>
      <c r="L32" s="78"/>
      <c r="M32" s="78"/>
      <c r="N32" s="78"/>
      <c r="O32" s="78"/>
    </row>
    <row r="33" spans="1:15" ht="20" x14ac:dyDescent="0.35">
      <c r="A33" s="98"/>
      <c r="B33" s="98"/>
      <c r="C33" s="100"/>
      <c r="D33" s="100"/>
      <c r="E33" s="78"/>
      <c r="F33" s="78"/>
      <c r="G33" s="78"/>
      <c r="H33" s="78"/>
      <c r="I33" s="78"/>
      <c r="J33" s="78"/>
      <c r="K33" s="78"/>
      <c r="L33" s="78"/>
      <c r="M33" s="78"/>
      <c r="N33" s="78"/>
      <c r="O33" s="78"/>
    </row>
    <row r="34" spans="1:15" ht="20" x14ac:dyDescent="0.35">
      <c r="A34" s="98"/>
      <c r="B34" s="98"/>
      <c r="C34" s="100"/>
      <c r="D34" s="100"/>
      <c r="E34" s="78"/>
      <c r="F34" s="78"/>
      <c r="G34" s="78"/>
      <c r="H34" s="78"/>
      <c r="I34" s="78"/>
      <c r="J34" s="78"/>
      <c r="K34" s="78"/>
      <c r="L34" s="78"/>
      <c r="M34" s="78"/>
      <c r="N34" s="78"/>
      <c r="O34" s="78"/>
    </row>
    <row r="35" spans="1:15" ht="20" x14ac:dyDescent="0.35">
      <c r="A35" s="98"/>
      <c r="B35" s="98"/>
      <c r="C35" s="100"/>
      <c r="D35" s="100"/>
      <c r="E35" s="78"/>
      <c r="F35" s="78"/>
      <c r="G35" s="78"/>
      <c r="H35" s="78"/>
      <c r="I35" s="78"/>
      <c r="J35" s="78"/>
      <c r="K35" s="78"/>
      <c r="L35" s="78"/>
      <c r="M35" s="78"/>
      <c r="N35" s="78"/>
      <c r="O35" s="78"/>
    </row>
    <row r="36" spans="1:15" ht="20" x14ac:dyDescent="0.35">
      <c r="A36" s="98"/>
      <c r="B36" s="98"/>
      <c r="C36" s="100"/>
      <c r="D36" s="100"/>
      <c r="E36" s="78"/>
      <c r="F36" s="78"/>
      <c r="G36" s="78"/>
      <c r="H36" s="78"/>
      <c r="I36" s="78"/>
      <c r="J36" s="78"/>
      <c r="K36" s="78"/>
      <c r="L36" s="78"/>
      <c r="M36" s="78"/>
      <c r="N36" s="78"/>
      <c r="O36" s="78"/>
    </row>
    <row r="37" spans="1:15" ht="20" x14ac:dyDescent="0.35">
      <c r="A37" s="98"/>
      <c r="B37" s="98"/>
      <c r="C37" s="100"/>
      <c r="D37" s="100"/>
      <c r="E37" s="78"/>
      <c r="F37" s="78"/>
      <c r="G37" s="78"/>
      <c r="H37" s="78"/>
      <c r="I37" s="78"/>
      <c r="J37" s="78"/>
      <c r="K37" s="78"/>
      <c r="L37" s="78"/>
      <c r="M37" s="78"/>
      <c r="N37" s="78"/>
      <c r="O37" s="78"/>
    </row>
    <row r="38" spans="1:15" ht="20" x14ac:dyDescent="0.35">
      <c r="A38" s="98"/>
      <c r="B38" s="98"/>
      <c r="C38" s="100"/>
      <c r="D38" s="100"/>
      <c r="E38" s="78"/>
      <c r="F38" s="78"/>
      <c r="G38" s="78"/>
      <c r="H38" s="78"/>
      <c r="I38" s="78"/>
      <c r="J38" s="78"/>
      <c r="K38" s="78"/>
      <c r="L38" s="78"/>
      <c r="M38" s="78"/>
      <c r="N38" s="78"/>
      <c r="O38" s="78"/>
    </row>
    <row r="39" spans="1:15" ht="20" x14ac:dyDescent="0.35">
      <c r="A39" s="98"/>
      <c r="B39" s="98"/>
      <c r="C39" s="100"/>
      <c r="D39" s="100"/>
      <c r="E39" s="78"/>
      <c r="F39" s="78"/>
      <c r="G39" s="78"/>
      <c r="H39" s="78"/>
      <c r="I39" s="78"/>
      <c r="J39" s="78"/>
      <c r="K39" s="78"/>
      <c r="L39" s="78"/>
      <c r="M39" s="78"/>
      <c r="N39" s="78"/>
      <c r="O39" s="78"/>
    </row>
    <row r="40" spans="1:15" ht="20" x14ac:dyDescent="0.35">
      <c r="A40" s="98"/>
      <c r="B40" s="98"/>
      <c r="C40" s="100"/>
      <c r="D40" s="100"/>
      <c r="E40" s="78"/>
      <c r="F40" s="78"/>
      <c r="G40" s="78"/>
      <c r="H40" s="78"/>
      <c r="I40" s="78"/>
      <c r="J40" s="78"/>
      <c r="K40" s="78"/>
      <c r="L40" s="78"/>
      <c r="M40" s="78"/>
      <c r="N40" s="78"/>
      <c r="O40" s="78"/>
    </row>
    <row r="41" spans="1:15" ht="20" x14ac:dyDescent="0.35">
      <c r="A41" s="98"/>
      <c r="B41" s="98"/>
      <c r="C41" s="100"/>
      <c r="D41" s="100"/>
      <c r="E41" s="78"/>
      <c r="F41" s="78"/>
      <c r="G41" s="78"/>
      <c r="H41" s="78"/>
      <c r="I41" s="78"/>
      <c r="J41" s="78"/>
      <c r="K41" s="78"/>
      <c r="L41" s="78"/>
      <c r="M41" s="78"/>
      <c r="N41" s="78"/>
      <c r="O41" s="78"/>
    </row>
    <row r="42" spans="1:15" ht="20" x14ac:dyDescent="0.35">
      <c r="A42" s="98"/>
      <c r="B42" s="98"/>
      <c r="C42" s="100"/>
      <c r="D42" s="100"/>
      <c r="E42" s="78"/>
      <c r="F42" s="78"/>
      <c r="G42" s="78"/>
      <c r="H42" s="78"/>
      <c r="I42" s="78"/>
      <c r="J42" s="78"/>
      <c r="K42" s="78"/>
      <c r="L42" s="78"/>
      <c r="M42" s="78"/>
      <c r="N42" s="78"/>
      <c r="O42" s="78"/>
    </row>
    <row r="43" spans="1:15" ht="20" x14ac:dyDescent="0.35">
      <c r="A43" s="98"/>
      <c r="B43" s="98"/>
      <c r="C43" s="100"/>
      <c r="D43" s="100"/>
      <c r="E43" s="78"/>
      <c r="F43" s="78"/>
      <c r="G43" s="78"/>
      <c r="H43" s="78"/>
      <c r="I43" s="78"/>
      <c r="J43" s="78"/>
      <c r="K43" s="78"/>
      <c r="L43" s="78"/>
      <c r="M43" s="78"/>
      <c r="N43" s="78"/>
      <c r="O43" s="78"/>
    </row>
    <row r="44" spans="1:15" ht="20" x14ac:dyDescent="0.35">
      <c r="A44" s="98"/>
      <c r="B44" s="98"/>
      <c r="C44" s="100"/>
      <c r="D44" s="100"/>
      <c r="E44" s="78"/>
      <c r="F44" s="78"/>
      <c r="G44" s="78"/>
      <c r="H44" s="78"/>
      <c r="I44" s="78"/>
      <c r="J44" s="78"/>
      <c r="K44" s="78"/>
      <c r="L44" s="78"/>
      <c r="M44" s="78"/>
      <c r="N44" s="78"/>
      <c r="O44" s="78"/>
    </row>
    <row r="45" spans="1:15" ht="20" x14ac:dyDescent="0.35">
      <c r="A45" s="98"/>
      <c r="B45" s="98"/>
      <c r="C45" s="100"/>
      <c r="D45" s="100"/>
      <c r="E45" s="78"/>
      <c r="F45" s="78"/>
      <c r="G45" s="78"/>
      <c r="H45" s="78"/>
      <c r="I45" s="78"/>
      <c r="J45" s="78"/>
      <c r="K45" s="78"/>
      <c r="L45" s="78"/>
      <c r="M45" s="78"/>
      <c r="N45" s="78"/>
      <c r="O45" s="78"/>
    </row>
    <row r="46" spans="1:15" ht="20" x14ac:dyDescent="0.35">
      <c r="A46" s="98"/>
      <c r="B46" s="98"/>
      <c r="C46" s="100"/>
      <c r="D46" s="100"/>
      <c r="E46" s="78"/>
      <c r="F46" s="78"/>
      <c r="G46" s="78"/>
      <c r="H46" s="78"/>
      <c r="I46" s="78"/>
      <c r="J46" s="78"/>
      <c r="K46" s="78"/>
      <c r="L46" s="78"/>
      <c r="M46" s="78"/>
      <c r="N46" s="78"/>
      <c r="O46" s="78"/>
    </row>
    <row r="47" spans="1:15" ht="20" x14ac:dyDescent="0.35">
      <c r="A47" s="98"/>
      <c r="B47" s="98"/>
      <c r="C47" s="100"/>
      <c r="D47" s="100"/>
      <c r="E47" s="78"/>
      <c r="F47" s="78"/>
      <c r="G47" s="78"/>
      <c r="H47" s="78"/>
      <c r="I47" s="78"/>
      <c r="J47" s="78"/>
      <c r="K47" s="78"/>
      <c r="L47" s="78"/>
      <c r="M47" s="78"/>
      <c r="N47" s="78"/>
      <c r="O47" s="78"/>
    </row>
    <row r="48" spans="1:15" ht="20" x14ac:dyDescent="0.35">
      <c r="A48" s="98"/>
      <c r="B48" s="98"/>
      <c r="C48" s="100"/>
      <c r="D48" s="100"/>
      <c r="E48" s="78"/>
      <c r="F48" s="78"/>
      <c r="G48" s="78"/>
      <c r="H48" s="78"/>
      <c r="I48" s="78"/>
      <c r="J48" s="78"/>
      <c r="K48" s="78"/>
      <c r="L48" s="78"/>
      <c r="M48" s="78"/>
      <c r="N48" s="78"/>
      <c r="O48" s="78"/>
    </row>
    <row r="49" spans="1:15" ht="20" x14ac:dyDescent="0.35">
      <c r="A49" s="98"/>
      <c r="B49" s="98"/>
      <c r="C49" s="100"/>
      <c r="D49" s="100"/>
      <c r="E49" s="78"/>
      <c r="F49" s="78"/>
      <c r="G49" s="78"/>
      <c r="H49" s="78"/>
      <c r="I49" s="78"/>
      <c r="J49" s="78"/>
      <c r="K49" s="78"/>
      <c r="L49" s="78"/>
      <c r="M49" s="78"/>
      <c r="N49" s="78"/>
      <c r="O49" s="78"/>
    </row>
    <row r="50" spans="1:15" ht="20" x14ac:dyDescent="0.35">
      <c r="A50" s="98"/>
      <c r="B50" s="98"/>
      <c r="C50" s="100"/>
      <c r="D50" s="100"/>
      <c r="E50" s="78"/>
      <c r="F50" s="78"/>
      <c r="G50" s="78"/>
      <c r="H50" s="78"/>
      <c r="I50" s="78"/>
      <c r="J50" s="78"/>
      <c r="K50" s="78"/>
      <c r="L50" s="78"/>
      <c r="M50" s="78"/>
      <c r="N50" s="78"/>
      <c r="O50" s="78"/>
    </row>
    <row r="51" spans="1:15" ht="20" x14ac:dyDescent="0.35">
      <c r="A51" s="98"/>
      <c r="B51" s="98"/>
      <c r="C51" s="100"/>
      <c r="D51" s="100"/>
      <c r="E51" s="78"/>
      <c r="F51" s="78"/>
      <c r="G51" s="78"/>
      <c r="H51" s="78"/>
      <c r="I51" s="78"/>
      <c r="J51" s="78"/>
      <c r="K51" s="78"/>
      <c r="L51" s="78"/>
      <c r="M51" s="78"/>
      <c r="N51" s="78"/>
      <c r="O51" s="78"/>
    </row>
    <row r="52" spans="1:15" ht="20" x14ac:dyDescent="0.35">
      <c r="A52" s="98"/>
      <c r="B52" s="21"/>
      <c r="C52" s="29"/>
      <c r="D52" s="29"/>
    </row>
    <row r="53" spans="1:15" ht="20" x14ac:dyDescent="0.35">
      <c r="A53" s="98"/>
      <c r="B53" s="21"/>
      <c r="C53" s="29"/>
      <c r="D53" s="29"/>
    </row>
    <row r="54" spans="1:15" ht="20" x14ac:dyDescent="0.35">
      <c r="A54" s="98"/>
      <c r="B54" s="21"/>
      <c r="C54" s="29"/>
      <c r="D54" s="29"/>
    </row>
    <row r="55" spans="1:15" ht="20" x14ac:dyDescent="0.35">
      <c r="A55" s="98"/>
      <c r="B55" s="21"/>
      <c r="C55" s="29"/>
      <c r="D55" s="29"/>
    </row>
    <row r="56" spans="1:15" ht="20" x14ac:dyDescent="0.35">
      <c r="A56" s="98"/>
      <c r="B56" s="21"/>
      <c r="C56" s="29"/>
      <c r="D56" s="29"/>
    </row>
    <row r="57" spans="1:15" ht="20" x14ac:dyDescent="0.35">
      <c r="A57" s="98"/>
      <c r="B57" s="21"/>
      <c r="C57" s="29"/>
      <c r="D57" s="29"/>
    </row>
    <row r="58" spans="1:15" ht="20" x14ac:dyDescent="0.35">
      <c r="A58" s="98"/>
      <c r="B58" s="21"/>
      <c r="C58" s="29"/>
      <c r="D58" s="29"/>
    </row>
    <row r="59" spans="1:15" ht="20" x14ac:dyDescent="0.35">
      <c r="A59" s="98"/>
      <c r="B59" s="21"/>
      <c r="C59" s="29"/>
      <c r="D59" s="29"/>
    </row>
    <row r="60" spans="1:15" ht="20" x14ac:dyDescent="0.35">
      <c r="A60" s="98"/>
      <c r="B60" s="21"/>
      <c r="C60" s="29"/>
      <c r="D60" s="29"/>
    </row>
    <row r="61" spans="1:15" ht="20" x14ac:dyDescent="0.35">
      <c r="A61" s="98"/>
      <c r="B61" s="21"/>
      <c r="C61" s="29"/>
      <c r="D61" s="29"/>
    </row>
    <row r="62" spans="1:15" ht="20" x14ac:dyDescent="0.35">
      <c r="A62" s="98"/>
      <c r="B62" s="21"/>
      <c r="C62" s="29"/>
      <c r="D62" s="29"/>
    </row>
    <row r="63" spans="1:15" ht="20" x14ac:dyDescent="0.35">
      <c r="A63" s="98"/>
      <c r="B63" s="21"/>
      <c r="C63" s="29"/>
      <c r="D63" s="29"/>
    </row>
    <row r="64" spans="1:15" ht="20" x14ac:dyDescent="0.35">
      <c r="A64" s="98"/>
      <c r="B64" s="21"/>
      <c r="C64" s="29"/>
      <c r="D64" s="29"/>
    </row>
    <row r="65" spans="1:4" ht="20" x14ac:dyDescent="0.35">
      <c r="A65" s="98"/>
      <c r="B65" s="21"/>
      <c r="C65" s="29"/>
      <c r="D65" s="29"/>
    </row>
    <row r="66" spans="1:4" ht="20" x14ac:dyDescent="0.35">
      <c r="A66" s="98"/>
      <c r="B66" s="21"/>
      <c r="C66" s="29"/>
      <c r="D66" s="29"/>
    </row>
    <row r="67" spans="1:4" ht="20" x14ac:dyDescent="0.35">
      <c r="A67" s="98"/>
      <c r="B67" s="21"/>
      <c r="C67" s="29"/>
      <c r="D67" s="29"/>
    </row>
    <row r="68" spans="1:4" ht="20" x14ac:dyDescent="0.35">
      <c r="A68" s="98"/>
      <c r="B68" s="21"/>
      <c r="C68" s="29"/>
      <c r="D68" s="29"/>
    </row>
    <row r="69" spans="1:4" ht="20" x14ac:dyDescent="0.35">
      <c r="A69" s="98"/>
      <c r="B69" s="21"/>
      <c r="C69" s="29"/>
      <c r="D69" s="29"/>
    </row>
    <row r="70" spans="1:4" ht="20" x14ac:dyDescent="0.35">
      <c r="A70" s="98"/>
      <c r="B70" s="21"/>
      <c r="C70" s="29"/>
      <c r="D70" s="29"/>
    </row>
    <row r="71" spans="1:4" ht="20" x14ac:dyDescent="0.35">
      <c r="A71" s="98"/>
      <c r="B71" s="21"/>
      <c r="C71" s="29"/>
      <c r="D71" s="29"/>
    </row>
    <row r="72" spans="1:4" ht="20" x14ac:dyDescent="0.35">
      <c r="A72" s="98"/>
      <c r="B72" s="21"/>
      <c r="C72" s="29"/>
      <c r="D72" s="29"/>
    </row>
    <row r="73" spans="1:4" ht="20" x14ac:dyDescent="0.35">
      <c r="A73" s="98"/>
      <c r="B73" s="21"/>
      <c r="C73" s="29"/>
      <c r="D73" s="29"/>
    </row>
    <row r="74" spans="1:4" ht="20" x14ac:dyDescent="0.35">
      <c r="A74" s="98"/>
      <c r="B74" s="21"/>
      <c r="C74" s="29"/>
      <c r="D74" s="29"/>
    </row>
    <row r="75" spans="1:4" ht="20" x14ac:dyDescent="0.35">
      <c r="A75" s="98"/>
      <c r="B75" s="21"/>
      <c r="C75" s="29"/>
      <c r="D75" s="29"/>
    </row>
    <row r="76" spans="1:4" ht="20" x14ac:dyDescent="0.35">
      <c r="A76" s="98"/>
      <c r="B76" s="21"/>
      <c r="C76" s="29"/>
      <c r="D76" s="29"/>
    </row>
    <row r="77" spans="1:4" ht="20" x14ac:dyDescent="0.35">
      <c r="A77" s="98"/>
      <c r="B77" s="21"/>
      <c r="C77" s="29"/>
      <c r="D77" s="29"/>
    </row>
    <row r="78" spans="1:4" ht="20" x14ac:dyDescent="0.35">
      <c r="A78" s="98"/>
      <c r="B78" s="21"/>
      <c r="C78" s="29"/>
      <c r="D78" s="29"/>
    </row>
    <row r="79" spans="1:4" ht="20" x14ac:dyDescent="0.35">
      <c r="A79" s="98"/>
      <c r="B79" s="21"/>
      <c r="C79" s="29"/>
      <c r="D79" s="29"/>
    </row>
    <row r="80" spans="1:4" ht="20" x14ac:dyDescent="0.35">
      <c r="A80" s="98"/>
      <c r="B80" s="21"/>
      <c r="C80" s="29"/>
      <c r="D80" s="29"/>
    </row>
    <row r="81" spans="1:4" ht="20" x14ac:dyDescent="0.35">
      <c r="A81" s="98"/>
      <c r="B81" s="21"/>
      <c r="C81" s="29"/>
      <c r="D81" s="29"/>
    </row>
    <row r="82" spans="1:4" ht="20" x14ac:dyDescent="0.35">
      <c r="A82" s="98"/>
      <c r="B82" s="21"/>
      <c r="C82" s="29"/>
      <c r="D82" s="29"/>
    </row>
    <row r="83" spans="1:4" ht="20" x14ac:dyDescent="0.35">
      <c r="A83" s="98"/>
      <c r="B83" s="21"/>
      <c r="C83" s="29"/>
      <c r="D83" s="29"/>
    </row>
    <row r="84" spans="1:4" ht="20" x14ac:dyDescent="0.35">
      <c r="A84" s="98"/>
      <c r="B84" s="21"/>
      <c r="C84" s="29"/>
      <c r="D84" s="29"/>
    </row>
    <row r="85" spans="1:4" ht="20" x14ac:dyDescent="0.35">
      <c r="A85" s="98"/>
      <c r="B85" s="21"/>
      <c r="C85" s="29"/>
      <c r="D85" s="29"/>
    </row>
    <row r="86" spans="1:4" ht="20" x14ac:dyDescent="0.35">
      <c r="A86" s="98"/>
      <c r="B86" s="21"/>
      <c r="C86" s="29"/>
      <c r="D86" s="29"/>
    </row>
    <row r="87" spans="1:4" ht="20" x14ac:dyDescent="0.35">
      <c r="A87" s="98"/>
      <c r="B87" s="21"/>
      <c r="C87" s="29"/>
      <c r="D87" s="29"/>
    </row>
    <row r="88" spans="1:4" ht="20" x14ac:dyDescent="0.35">
      <c r="A88" s="98"/>
      <c r="B88" s="21"/>
      <c r="C88" s="29"/>
      <c r="D88" s="29"/>
    </row>
    <row r="89" spans="1:4" ht="20" x14ac:dyDescent="0.35">
      <c r="A89" s="98"/>
      <c r="B89" s="21"/>
      <c r="C89" s="29"/>
      <c r="D89" s="29"/>
    </row>
    <row r="90" spans="1:4" ht="20" x14ac:dyDescent="0.35">
      <c r="A90" s="98"/>
      <c r="B90" s="21"/>
      <c r="C90" s="29"/>
      <c r="D90" s="29"/>
    </row>
    <row r="91" spans="1:4" ht="20" x14ac:dyDescent="0.35">
      <c r="A91" s="98"/>
      <c r="B91" s="21"/>
      <c r="C91" s="29"/>
      <c r="D91" s="29"/>
    </row>
    <row r="92" spans="1:4" ht="20" x14ac:dyDescent="0.35">
      <c r="A92" s="98"/>
      <c r="B92" s="21"/>
      <c r="C92" s="29"/>
      <c r="D92" s="29"/>
    </row>
    <row r="93" spans="1:4" ht="20" x14ac:dyDescent="0.35">
      <c r="A93" s="98"/>
      <c r="B93" s="21"/>
      <c r="C93" s="29"/>
      <c r="D93" s="29"/>
    </row>
    <row r="94" spans="1:4" ht="20" x14ac:dyDescent="0.35">
      <c r="A94" s="98"/>
      <c r="B94" s="21"/>
      <c r="C94" s="29"/>
      <c r="D94" s="29"/>
    </row>
    <row r="95" spans="1:4" ht="20" x14ac:dyDescent="0.35">
      <c r="A95" s="98"/>
      <c r="B95" s="21"/>
      <c r="C95" s="29"/>
      <c r="D95" s="29"/>
    </row>
    <row r="96" spans="1:4" ht="20" x14ac:dyDescent="0.35">
      <c r="A96" s="98"/>
      <c r="B96" s="21"/>
      <c r="C96" s="29"/>
      <c r="D96" s="29"/>
    </row>
    <row r="97" spans="1:4" ht="20" x14ac:dyDescent="0.35">
      <c r="A97" s="98"/>
      <c r="B97" s="21"/>
      <c r="C97" s="29"/>
      <c r="D97" s="29"/>
    </row>
    <row r="98" spans="1:4" ht="20" x14ac:dyDescent="0.35">
      <c r="A98" s="98"/>
      <c r="B98" s="21"/>
      <c r="C98" s="29"/>
      <c r="D98" s="29"/>
    </row>
    <row r="99" spans="1:4" ht="20" x14ac:dyDescent="0.35">
      <c r="A99" s="98"/>
      <c r="B99" s="21"/>
      <c r="C99" s="29"/>
      <c r="D99" s="29"/>
    </row>
    <row r="100" spans="1:4" ht="20" x14ac:dyDescent="0.35">
      <c r="A100" s="98"/>
      <c r="B100" s="21"/>
      <c r="C100" s="29"/>
      <c r="D100" s="29"/>
    </row>
    <row r="101" spans="1:4" ht="20" x14ac:dyDescent="0.35">
      <c r="A101" s="98"/>
      <c r="B101" s="21"/>
      <c r="C101" s="29"/>
      <c r="D101" s="29"/>
    </row>
    <row r="102" spans="1:4" ht="20" x14ac:dyDescent="0.35">
      <c r="A102" s="98"/>
      <c r="B102" s="21"/>
      <c r="C102" s="29"/>
      <c r="D102" s="29"/>
    </row>
    <row r="103" spans="1:4" ht="20" x14ac:dyDescent="0.35">
      <c r="A103" s="98"/>
      <c r="B103" s="21"/>
      <c r="C103" s="29"/>
      <c r="D103" s="29"/>
    </row>
    <row r="104" spans="1:4" ht="20" x14ac:dyDescent="0.35">
      <c r="A104" s="98"/>
      <c r="B104" s="21"/>
      <c r="C104" s="29"/>
      <c r="D104" s="29"/>
    </row>
    <row r="105" spans="1:4" ht="20" x14ac:dyDescent="0.35">
      <c r="A105" s="98"/>
      <c r="B105" s="21"/>
      <c r="C105" s="29"/>
      <c r="D105" s="29"/>
    </row>
    <row r="106" spans="1:4" ht="20" x14ac:dyDescent="0.35">
      <c r="A106" s="98"/>
      <c r="B106" s="21"/>
      <c r="C106" s="29"/>
      <c r="D106" s="29"/>
    </row>
    <row r="107" spans="1:4" ht="20" x14ac:dyDescent="0.35">
      <c r="A107" s="98"/>
      <c r="B107" s="21"/>
      <c r="C107" s="29"/>
      <c r="D107" s="29"/>
    </row>
    <row r="108" spans="1:4" ht="20" x14ac:dyDescent="0.35">
      <c r="A108" s="98"/>
      <c r="B108" s="21"/>
      <c r="C108" s="29"/>
      <c r="D108" s="29"/>
    </row>
    <row r="109" spans="1:4" ht="20" x14ac:dyDescent="0.35">
      <c r="A109" s="98"/>
      <c r="B109" s="21"/>
      <c r="C109" s="29"/>
      <c r="D109" s="29"/>
    </row>
    <row r="110" spans="1:4" ht="20" x14ac:dyDescent="0.35">
      <c r="A110" s="98"/>
      <c r="B110" s="21"/>
      <c r="C110" s="29"/>
      <c r="D110" s="29"/>
    </row>
    <row r="111" spans="1:4" ht="20" x14ac:dyDescent="0.35">
      <c r="A111" s="98"/>
      <c r="B111" s="21"/>
      <c r="C111" s="29"/>
      <c r="D111" s="29"/>
    </row>
    <row r="112" spans="1:4" ht="20" x14ac:dyDescent="0.35">
      <c r="A112" s="98"/>
      <c r="B112" s="21"/>
      <c r="C112" s="29"/>
      <c r="D112" s="29"/>
    </row>
    <row r="113" spans="1:4" ht="20" x14ac:dyDescent="0.35">
      <c r="A113" s="98"/>
      <c r="B113" s="21"/>
      <c r="C113" s="29"/>
      <c r="D113" s="29"/>
    </row>
    <row r="114" spans="1:4" ht="20" x14ac:dyDescent="0.35">
      <c r="A114" s="98"/>
      <c r="B114" s="21"/>
      <c r="C114" s="29"/>
      <c r="D114" s="29"/>
    </row>
    <row r="115" spans="1:4" ht="20" x14ac:dyDescent="0.35">
      <c r="A115" s="98"/>
      <c r="B115" s="21"/>
      <c r="C115" s="29"/>
      <c r="D115" s="29"/>
    </row>
    <row r="116" spans="1:4" ht="20" x14ac:dyDescent="0.35">
      <c r="A116" s="98"/>
      <c r="B116" s="21"/>
      <c r="C116" s="29"/>
      <c r="D116" s="29"/>
    </row>
    <row r="117" spans="1:4" ht="20" x14ac:dyDescent="0.35">
      <c r="A117" s="98"/>
      <c r="B117" s="21"/>
      <c r="C117" s="29"/>
      <c r="D117" s="29"/>
    </row>
    <row r="118" spans="1:4" ht="20" x14ac:dyDescent="0.35">
      <c r="A118" s="98"/>
      <c r="B118" s="21"/>
      <c r="C118" s="29"/>
      <c r="D118" s="29"/>
    </row>
    <row r="119" spans="1:4" ht="20" x14ac:dyDescent="0.35">
      <c r="A119" s="98"/>
      <c r="B119" s="21"/>
      <c r="C119" s="29"/>
      <c r="D119" s="29"/>
    </row>
    <row r="120" spans="1:4" ht="20" x14ac:dyDescent="0.35">
      <c r="A120" s="98"/>
      <c r="B120" s="21"/>
      <c r="C120" s="29"/>
      <c r="D120" s="29"/>
    </row>
    <row r="121" spans="1:4" ht="20" x14ac:dyDescent="0.35">
      <c r="A121" s="98"/>
      <c r="B121" s="21"/>
      <c r="C121" s="29"/>
      <c r="D121" s="29"/>
    </row>
    <row r="122" spans="1:4" ht="20" x14ac:dyDescent="0.35">
      <c r="A122" s="98"/>
      <c r="B122" s="21"/>
      <c r="C122" s="29"/>
      <c r="D122" s="29"/>
    </row>
    <row r="123" spans="1:4" ht="20" x14ac:dyDescent="0.35">
      <c r="A123" s="98"/>
      <c r="B123" s="21"/>
      <c r="C123" s="29"/>
      <c r="D123" s="29"/>
    </row>
    <row r="124" spans="1:4" ht="20" x14ac:dyDescent="0.35">
      <c r="A124" s="98"/>
      <c r="B124" s="21"/>
      <c r="C124" s="29"/>
      <c r="D124" s="29"/>
    </row>
    <row r="125" spans="1:4" ht="20" x14ac:dyDescent="0.35">
      <c r="A125" s="98"/>
      <c r="B125" s="21"/>
      <c r="C125" s="29"/>
      <c r="D125" s="29"/>
    </row>
    <row r="126" spans="1:4" ht="20" x14ac:dyDescent="0.35">
      <c r="A126" s="98"/>
      <c r="B126" s="21"/>
      <c r="C126" s="29"/>
      <c r="D126" s="29"/>
    </row>
    <row r="127" spans="1:4" ht="20" x14ac:dyDescent="0.35">
      <c r="A127" s="98"/>
      <c r="B127" s="21"/>
      <c r="C127" s="29"/>
      <c r="D127" s="29"/>
    </row>
    <row r="128" spans="1:4" ht="20" x14ac:dyDescent="0.35">
      <c r="A128" s="98"/>
      <c r="B128" s="21"/>
      <c r="C128" s="29"/>
      <c r="D128" s="29"/>
    </row>
    <row r="129" spans="1:4" ht="20" x14ac:dyDescent="0.35">
      <c r="A129" s="98"/>
      <c r="B129" s="21"/>
      <c r="C129" s="29"/>
      <c r="D129" s="29"/>
    </row>
    <row r="130" spans="1:4" ht="20" x14ac:dyDescent="0.35">
      <c r="A130" s="98"/>
      <c r="B130" s="21"/>
      <c r="C130" s="29"/>
      <c r="D130" s="29"/>
    </row>
    <row r="131" spans="1:4" ht="20" x14ac:dyDescent="0.35">
      <c r="A131" s="98"/>
      <c r="B131" s="21"/>
      <c r="C131" s="29"/>
      <c r="D131" s="29"/>
    </row>
    <row r="132" spans="1:4" ht="20" x14ac:dyDescent="0.35">
      <c r="A132" s="98"/>
      <c r="B132" s="21"/>
      <c r="C132" s="29"/>
      <c r="D132" s="29"/>
    </row>
    <row r="133" spans="1:4" ht="20" x14ac:dyDescent="0.35">
      <c r="A133" s="98"/>
      <c r="B133" s="21"/>
      <c r="C133" s="29"/>
      <c r="D133" s="29"/>
    </row>
    <row r="134" spans="1:4" ht="20" x14ac:dyDescent="0.35">
      <c r="A134" s="98"/>
      <c r="B134" s="21"/>
      <c r="C134" s="29"/>
      <c r="D134" s="29"/>
    </row>
    <row r="135" spans="1:4" ht="20" x14ac:dyDescent="0.35">
      <c r="A135" s="98"/>
      <c r="B135" s="21"/>
      <c r="C135" s="29"/>
      <c r="D135" s="29"/>
    </row>
    <row r="136" spans="1:4" ht="20" x14ac:dyDescent="0.35">
      <c r="A136" s="98"/>
      <c r="B136" s="21"/>
      <c r="C136" s="29"/>
      <c r="D136" s="29"/>
    </row>
    <row r="137" spans="1:4" ht="20" x14ac:dyDescent="0.35">
      <c r="A137" s="98"/>
      <c r="B137" s="21"/>
      <c r="C137" s="29"/>
      <c r="D137" s="29"/>
    </row>
    <row r="138" spans="1:4" ht="20" x14ac:dyDescent="0.35">
      <c r="A138" s="98"/>
      <c r="B138" s="21"/>
      <c r="C138" s="29"/>
      <c r="D138" s="29"/>
    </row>
    <row r="139" spans="1:4" ht="20" x14ac:dyDescent="0.35">
      <c r="A139" s="98"/>
      <c r="B139" s="21"/>
      <c r="C139" s="29"/>
      <c r="D139" s="29"/>
    </row>
    <row r="140" spans="1:4" ht="20" x14ac:dyDescent="0.35">
      <c r="A140" s="98"/>
      <c r="B140" s="21"/>
      <c r="C140" s="29"/>
      <c r="D140" s="29"/>
    </row>
    <row r="141" spans="1:4" ht="20" x14ac:dyDescent="0.35">
      <c r="A141" s="98"/>
      <c r="B141" s="21"/>
      <c r="C141" s="29"/>
      <c r="D141" s="29"/>
    </row>
    <row r="142" spans="1:4" ht="20" x14ac:dyDescent="0.35">
      <c r="A142" s="98"/>
      <c r="B142" s="21"/>
      <c r="C142" s="29"/>
      <c r="D142" s="29"/>
    </row>
    <row r="143" spans="1:4" ht="20" x14ac:dyDescent="0.35">
      <c r="A143" s="98"/>
      <c r="B143" s="21"/>
      <c r="C143" s="29"/>
      <c r="D143" s="29"/>
    </row>
    <row r="144" spans="1:4" ht="20" x14ac:dyDescent="0.35">
      <c r="A144" s="98"/>
      <c r="B144" s="21"/>
      <c r="C144" s="29"/>
      <c r="D144" s="29"/>
    </row>
    <row r="145" spans="1:4" ht="20" x14ac:dyDescent="0.35">
      <c r="A145" s="98"/>
      <c r="B145" s="21"/>
      <c r="C145" s="29"/>
      <c r="D145" s="29"/>
    </row>
    <row r="146" spans="1:4" ht="20" x14ac:dyDescent="0.35">
      <c r="A146" s="98"/>
      <c r="B146" s="21"/>
      <c r="C146" s="29"/>
      <c r="D146" s="29"/>
    </row>
    <row r="147" spans="1:4" ht="20" x14ac:dyDescent="0.35">
      <c r="A147" s="98"/>
      <c r="B147" s="21"/>
      <c r="C147" s="29"/>
      <c r="D147" s="29"/>
    </row>
    <row r="148" spans="1:4" ht="20" x14ac:dyDescent="0.35">
      <c r="A148" s="98"/>
      <c r="B148" s="21"/>
      <c r="C148" s="29"/>
      <c r="D148" s="29"/>
    </row>
    <row r="149" spans="1:4" ht="20" x14ac:dyDescent="0.35">
      <c r="A149" s="98"/>
      <c r="B149" s="21"/>
      <c r="C149" s="29"/>
      <c r="D149" s="29"/>
    </row>
    <row r="150" spans="1:4" ht="20" x14ac:dyDescent="0.35">
      <c r="A150" s="98"/>
      <c r="B150" s="21"/>
      <c r="C150" s="29"/>
      <c r="D150" s="29"/>
    </row>
    <row r="151" spans="1:4" ht="20" x14ac:dyDescent="0.35">
      <c r="A151" s="98"/>
      <c r="B151" s="21"/>
      <c r="C151" s="29"/>
      <c r="D151" s="29"/>
    </row>
    <row r="152" spans="1:4" ht="20" x14ac:dyDescent="0.35">
      <c r="A152" s="98"/>
      <c r="B152" s="21"/>
      <c r="C152" s="29"/>
      <c r="D152" s="29"/>
    </row>
    <row r="153" spans="1:4" ht="20" x14ac:dyDescent="0.35">
      <c r="A153" s="98"/>
      <c r="B153" s="21"/>
      <c r="C153" s="29"/>
      <c r="D153" s="29"/>
    </row>
    <row r="154" spans="1:4" ht="20" x14ac:dyDescent="0.35">
      <c r="A154" s="98"/>
      <c r="B154" s="21"/>
      <c r="C154" s="29"/>
      <c r="D154" s="29"/>
    </row>
    <row r="155" spans="1:4" ht="20" x14ac:dyDescent="0.35">
      <c r="A155" s="98"/>
      <c r="B155" s="21"/>
      <c r="C155" s="29"/>
      <c r="D155" s="29"/>
    </row>
    <row r="156" spans="1:4" ht="20" x14ac:dyDescent="0.35">
      <c r="A156" s="98"/>
      <c r="B156" s="21"/>
      <c r="C156" s="29"/>
      <c r="D156" s="29"/>
    </row>
    <row r="157" spans="1:4" ht="20" x14ac:dyDescent="0.35">
      <c r="A157" s="98"/>
      <c r="B157" s="21"/>
      <c r="C157" s="29"/>
      <c r="D157" s="29"/>
    </row>
    <row r="158" spans="1:4" ht="20" x14ac:dyDescent="0.35">
      <c r="A158" s="98"/>
      <c r="B158" s="21"/>
      <c r="C158" s="29"/>
      <c r="D158" s="29"/>
    </row>
    <row r="159" spans="1:4" ht="20" x14ac:dyDescent="0.35">
      <c r="A159" s="98"/>
      <c r="B159" s="21"/>
      <c r="C159" s="29"/>
      <c r="D159" s="29"/>
    </row>
    <row r="160" spans="1:4" ht="20" x14ac:dyDescent="0.35">
      <c r="A160" s="98"/>
      <c r="B160" s="21"/>
      <c r="C160" s="29"/>
      <c r="D160" s="29"/>
    </row>
    <row r="161" spans="1:4" ht="20" x14ac:dyDescent="0.35">
      <c r="A161" s="98"/>
      <c r="B161" s="21"/>
      <c r="C161" s="29"/>
      <c r="D161" s="29"/>
    </row>
    <row r="162" spans="1:4" ht="20" x14ac:dyDescent="0.35">
      <c r="A162" s="98"/>
      <c r="B162" s="21"/>
      <c r="C162" s="29"/>
      <c r="D162" s="29"/>
    </row>
    <row r="163" spans="1:4" ht="20" x14ac:dyDescent="0.35">
      <c r="A163" s="98"/>
      <c r="B163" s="21"/>
      <c r="C163" s="29"/>
      <c r="D163" s="29"/>
    </row>
    <row r="164" spans="1:4" ht="20" x14ac:dyDescent="0.35">
      <c r="A164" s="98"/>
      <c r="B164" s="21"/>
      <c r="C164" s="29"/>
      <c r="D164" s="29"/>
    </row>
    <row r="165" spans="1:4" ht="20" x14ac:dyDescent="0.35">
      <c r="A165" s="98"/>
      <c r="B165" s="21"/>
      <c r="C165" s="29"/>
      <c r="D165" s="29"/>
    </row>
    <row r="166" spans="1:4" ht="20" x14ac:dyDescent="0.35">
      <c r="A166" s="98"/>
      <c r="B166" s="21"/>
      <c r="C166" s="29"/>
      <c r="D166" s="29"/>
    </row>
    <row r="167" spans="1:4" ht="20" x14ac:dyDescent="0.35">
      <c r="A167" s="98"/>
      <c r="B167" s="21"/>
      <c r="C167" s="29"/>
      <c r="D167" s="29"/>
    </row>
    <row r="168" spans="1:4" ht="20" x14ac:dyDescent="0.35">
      <c r="A168" s="98"/>
      <c r="B168" s="21"/>
      <c r="C168" s="29"/>
      <c r="D168" s="29"/>
    </row>
    <row r="169" spans="1:4" ht="20" x14ac:dyDescent="0.35">
      <c r="A169" s="98"/>
      <c r="B169" s="21"/>
      <c r="C169" s="29"/>
      <c r="D169" s="29"/>
    </row>
    <row r="170" spans="1:4" ht="20" x14ac:dyDescent="0.35">
      <c r="A170" s="98"/>
      <c r="B170" s="21"/>
      <c r="C170" s="29"/>
      <c r="D170" s="29"/>
    </row>
    <row r="171" spans="1:4" ht="20" x14ac:dyDescent="0.35">
      <c r="A171" s="98"/>
      <c r="B171" s="21"/>
      <c r="C171" s="29"/>
      <c r="D171" s="29"/>
    </row>
    <row r="172" spans="1:4" ht="20" x14ac:dyDescent="0.35">
      <c r="A172" s="98"/>
      <c r="B172" s="21"/>
      <c r="C172" s="29"/>
      <c r="D172" s="29"/>
    </row>
    <row r="173" spans="1:4" ht="20" x14ac:dyDescent="0.35">
      <c r="A173" s="98"/>
      <c r="B173" s="21"/>
      <c r="C173" s="29"/>
      <c r="D173" s="29"/>
    </row>
    <row r="174" spans="1:4" ht="20" x14ac:dyDescent="0.35">
      <c r="A174" s="98"/>
      <c r="B174" s="21"/>
      <c r="C174" s="29"/>
      <c r="D174" s="29"/>
    </row>
    <row r="175" spans="1:4" ht="20" x14ac:dyDescent="0.35">
      <c r="A175" s="98"/>
      <c r="B175" s="21"/>
      <c r="C175" s="29"/>
      <c r="D175" s="29"/>
    </row>
    <row r="176" spans="1:4" ht="20" x14ac:dyDescent="0.35">
      <c r="A176" s="98"/>
      <c r="B176" s="21"/>
      <c r="C176" s="29"/>
      <c r="D176" s="29"/>
    </row>
    <row r="177" spans="1:4" ht="20" x14ac:dyDescent="0.35">
      <c r="A177" s="98"/>
      <c r="B177" s="21"/>
      <c r="C177" s="29"/>
      <c r="D177" s="29"/>
    </row>
    <row r="178" spans="1:4" ht="20" x14ac:dyDescent="0.35">
      <c r="A178" s="98"/>
      <c r="B178" s="21"/>
      <c r="C178" s="29"/>
      <c r="D178" s="29"/>
    </row>
    <row r="179" spans="1:4" ht="20" x14ac:dyDescent="0.35">
      <c r="A179" s="98"/>
      <c r="B179" s="21"/>
      <c r="C179" s="29"/>
      <c r="D179" s="29"/>
    </row>
    <row r="180" spans="1:4" ht="20" x14ac:dyDescent="0.35">
      <c r="A180" s="98"/>
      <c r="B180" s="21"/>
      <c r="C180" s="29"/>
      <c r="D180" s="29"/>
    </row>
    <row r="181" spans="1:4" ht="20" x14ac:dyDescent="0.35">
      <c r="A181" s="98"/>
      <c r="B181" s="21"/>
      <c r="C181" s="29"/>
      <c r="D181" s="29"/>
    </row>
    <row r="182" spans="1:4" ht="20" x14ac:dyDescent="0.35">
      <c r="A182" s="98"/>
      <c r="B182" s="21"/>
      <c r="C182" s="29"/>
      <c r="D182" s="29"/>
    </row>
    <row r="183" spans="1:4" ht="20" x14ac:dyDescent="0.35">
      <c r="A183" s="98"/>
      <c r="B183" s="21"/>
      <c r="C183" s="29"/>
      <c r="D183" s="29"/>
    </row>
    <row r="184" spans="1:4" ht="20" x14ac:dyDescent="0.35">
      <c r="A184" s="98"/>
      <c r="B184" s="21"/>
      <c r="C184" s="29"/>
      <c r="D184" s="29"/>
    </row>
    <row r="185" spans="1:4" ht="20" x14ac:dyDescent="0.35">
      <c r="A185" s="98"/>
      <c r="B185" s="21"/>
      <c r="C185" s="29"/>
      <c r="D185" s="29"/>
    </row>
    <row r="186" spans="1:4" ht="20" x14ac:dyDescent="0.35">
      <c r="A186" s="98"/>
      <c r="B186" s="21"/>
      <c r="C186" s="29"/>
      <c r="D186" s="29"/>
    </row>
    <row r="187" spans="1:4" ht="20" x14ac:dyDescent="0.35">
      <c r="A187" s="98"/>
      <c r="B187" s="21"/>
      <c r="C187" s="29"/>
      <c r="D187" s="29"/>
    </row>
    <row r="188" spans="1:4" ht="20" x14ac:dyDescent="0.35">
      <c r="A188" s="98"/>
      <c r="B188" s="21"/>
      <c r="C188" s="29"/>
      <c r="D188" s="29"/>
    </row>
    <row r="189" spans="1:4" ht="20" x14ac:dyDescent="0.35">
      <c r="A189" s="98"/>
      <c r="B189" s="21"/>
      <c r="C189" s="29"/>
      <c r="D189" s="29"/>
    </row>
    <row r="190" spans="1:4" ht="20" x14ac:dyDescent="0.35">
      <c r="A190" s="98"/>
      <c r="B190" s="21"/>
      <c r="C190" s="29"/>
      <c r="D190" s="29"/>
    </row>
    <row r="191" spans="1:4" ht="20" x14ac:dyDescent="0.35">
      <c r="A191" s="98"/>
      <c r="B191" s="21"/>
      <c r="C191" s="29"/>
      <c r="D191" s="29"/>
    </row>
    <row r="192" spans="1:4" ht="20" x14ac:dyDescent="0.35">
      <c r="A192" s="98"/>
      <c r="B192" s="21"/>
      <c r="C192" s="29"/>
      <c r="D192" s="29"/>
    </row>
    <row r="193" spans="1:4" ht="20" x14ac:dyDescent="0.35">
      <c r="A193" s="98"/>
      <c r="B193" s="21"/>
      <c r="C193" s="29"/>
      <c r="D193" s="29"/>
    </row>
    <row r="194" spans="1:4" ht="20" x14ac:dyDescent="0.35">
      <c r="A194" s="98"/>
      <c r="B194" s="21"/>
      <c r="C194" s="29"/>
      <c r="D194" s="29"/>
    </row>
    <row r="195" spans="1:4" ht="20" x14ac:dyDescent="0.35">
      <c r="A195" s="98"/>
      <c r="B195" s="21"/>
      <c r="C195" s="29"/>
      <c r="D195" s="29"/>
    </row>
    <row r="196" spans="1:4" ht="20" x14ac:dyDescent="0.35">
      <c r="A196" s="98"/>
      <c r="B196" s="21"/>
      <c r="C196" s="29"/>
      <c r="D196" s="29"/>
    </row>
    <row r="197" spans="1:4" ht="20" x14ac:dyDescent="0.35">
      <c r="A197" s="98"/>
      <c r="B197" s="21"/>
      <c r="C197" s="29"/>
      <c r="D197" s="29"/>
    </row>
    <row r="198" spans="1:4" ht="20" x14ac:dyDescent="0.35">
      <c r="A198" s="98"/>
      <c r="B198" s="21"/>
      <c r="C198" s="29"/>
      <c r="D198" s="29"/>
    </row>
    <row r="199" spans="1:4" ht="20" x14ac:dyDescent="0.35">
      <c r="A199" s="98"/>
      <c r="B199" s="21"/>
      <c r="C199" s="29"/>
      <c r="D199" s="29"/>
    </row>
    <row r="200" spans="1:4" ht="20" x14ac:dyDescent="0.35">
      <c r="A200" s="98"/>
      <c r="B200" s="21"/>
      <c r="C200" s="29"/>
      <c r="D200" s="29"/>
    </row>
    <row r="201" spans="1:4" ht="20" x14ac:dyDescent="0.35">
      <c r="A201" s="98"/>
      <c r="B201" s="21"/>
      <c r="C201" s="29"/>
      <c r="D201" s="29"/>
    </row>
    <row r="202" spans="1:4" ht="20" x14ac:dyDescent="0.35">
      <c r="A202" s="98"/>
      <c r="B202" s="21"/>
      <c r="C202" s="29"/>
      <c r="D202" s="29"/>
    </row>
    <row r="203" spans="1:4" ht="20" x14ac:dyDescent="0.35">
      <c r="A203" s="98"/>
      <c r="B203" s="21"/>
      <c r="C203" s="29"/>
      <c r="D203" s="29"/>
    </row>
    <row r="204" spans="1:4" ht="20" x14ac:dyDescent="0.35">
      <c r="A204" s="98"/>
      <c r="B204" s="21"/>
      <c r="C204" s="29"/>
      <c r="D204" s="29"/>
    </row>
    <row r="205" spans="1:4" ht="20" x14ac:dyDescent="0.35">
      <c r="A205" s="98"/>
      <c r="B205" s="21"/>
      <c r="C205" s="29"/>
      <c r="D205" s="29"/>
    </row>
    <row r="206" spans="1:4" ht="20" x14ac:dyDescent="0.35">
      <c r="A206" s="98"/>
      <c r="B206" s="21"/>
      <c r="C206" s="29"/>
      <c r="D206" s="29"/>
    </row>
    <row r="207" spans="1:4" ht="20" x14ac:dyDescent="0.35">
      <c r="A207" s="98"/>
      <c r="B207" s="21"/>
      <c r="C207" s="29"/>
      <c r="D207" s="29"/>
    </row>
    <row r="208" spans="1:4" x14ac:dyDescent="0.35">
      <c r="A208" s="78"/>
      <c r="B208" s="21"/>
      <c r="C208" s="21"/>
      <c r="D208" s="21"/>
    </row>
    <row r="209" spans="1:8" ht="20" x14ac:dyDescent="0.35">
      <c r="A209" s="78"/>
      <c r="B209" s="25" t="s">
        <v>87</v>
      </c>
      <c r="C209" s="25" t="s">
        <v>143</v>
      </c>
      <c r="D209" s="28" t="s">
        <v>87</v>
      </c>
      <c r="E209" s="28" t="s">
        <v>143</v>
      </c>
    </row>
    <row r="210" spans="1:8" ht="21" x14ac:dyDescent="0.5">
      <c r="A210" s="78"/>
      <c r="B210" s="26" t="s">
        <v>89</v>
      </c>
      <c r="C210" s="26"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5">
      <c r="A211" s="78"/>
      <c r="B211" s="26" t="s">
        <v>89</v>
      </c>
      <c r="C211" s="26" t="s">
        <v>92</v>
      </c>
      <c r="E211" t="s">
        <v>57</v>
      </c>
      <c r="F211" t="str">
        <f t="shared" ref="F211:F221" si="0">IF(NOT(ISBLANK(D211)),D211,IF(NOT(ISBLANK(E211)),"     "&amp;E211,FALSE))</f>
        <v xml:space="preserve">     Afectación menor a 10 SMLMV .</v>
      </c>
    </row>
    <row r="212" spans="1:8" ht="21" x14ac:dyDescent="0.5">
      <c r="A212" s="78"/>
      <c r="B212" s="26" t="s">
        <v>89</v>
      </c>
      <c r="C212" s="26" t="s">
        <v>93</v>
      </c>
      <c r="E212" t="s">
        <v>92</v>
      </c>
      <c r="F212" t="str">
        <f t="shared" si="0"/>
        <v xml:space="preserve">     Entre 10 y 50 SMLMV </v>
      </c>
    </row>
    <row r="213" spans="1:8" ht="21" x14ac:dyDescent="0.5">
      <c r="A213" s="78"/>
      <c r="B213" s="26" t="s">
        <v>89</v>
      </c>
      <c r="C213" s="26" t="s">
        <v>94</v>
      </c>
      <c r="E213" t="s">
        <v>93</v>
      </c>
      <c r="F213" t="str">
        <f t="shared" si="0"/>
        <v xml:space="preserve">     Entre 50 y 100 SMLMV </v>
      </c>
    </row>
    <row r="214" spans="1:8" ht="21" x14ac:dyDescent="0.5">
      <c r="A214" s="78"/>
      <c r="B214" s="26" t="s">
        <v>89</v>
      </c>
      <c r="C214" s="26" t="s">
        <v>95</v>
      </c>
      <c r="E214" t="s">
        <v>94</v>
      </c>
      <c r="F214" t="str">
        <f t="shared" si="0"/>
        <v xml:space="preserve">     Entre 100 y 500 SMLMV </v>
      </c>
    </row>
    <row r="215" spans="1:8" ht="21" x14ac:dyDescent="0.5">
      <c r="A215" s="78"/>
      <c r="B215" s="26" t="s">
        <v>56</v>
      </c>
      <c r="C215" s="26" t="s">
        <v>96</v>
      </c>
      <c r="E215" t="s">
        <v>95</v>
      </c>
      <c r="F215" t="str">
        <f t="shared" si="0"/>
        <v xml:space="preserve">     Mayor a 500 SMLMV </v>
      </c>
    </row>
    <row r="216" spans="1:8" ht="21" x14ac:dyDescent="0.5">
      <c r="A216" s="78"/>
      <c r="B216" s="26" t="s">
        <v>56</v>
      </c>
      <c r="C216" s="26" t="s">
        <v>97</v>
      </c>
      <c r="D216" t="s">
        <v>56</v>
      </c>
      <c r="F216" t="str">
        <f t="shared" si="0"/>
        <v>Pérdida Reputacional</v>
      </c>
    </row>
    <row r="217" spans="1:8" ht="21" x14ac:dyDescent="0.5">
      <c r="A217" s="78"/>
      <c r="B217" s="26" t="s">
        <v>56</v>
      </c>
      <c r="C217" s="26" t="s">
        <v>99</v>
      </c>
      <c r="E217" t="s">
        <v>96</v>
      </c>
      <c r="F217" t="str">
        <f t="shared" si="0"/>
        <v xml:space="preserve">     El riesgo afecta la imagen de alguna área de la organización</v>
      </c>
    </row>
    <row r="218" spans="1:8" ht="21" x14ac:dyDescent="0.5">
      <c r="A218" s="78"/>
      <c r="B218" s="26" t="s">
        <v>56</v>
      </c>
      <c r="C218" s="26" t="s">
        <v>98</v>
      </c>
      <c r="E218" t="s">
        <v>97</v>
      </c>
      <c r="F218" t="str">
        <f t="shared" si="0"/>
        <v xml:space="preserve">     El riesgo afecta la imagen de la entidad internamente, de conocimiento general, nivel interno, de junta dircetiva y accionistas y/o de provedores</v>
      </c>
    </row>
    <row r="219" spans="1:8" ht="21" x14ac:dyDescent="0.5">
      <c r="A219" s="78"/>
      <c r="B219" s="26" t="s">
        <v>56</v>
      </c>
      <c r="C219" s="26" t="s">
        <v>117</v>
      </c>
      <c r="E219" t="s">
        <v>99</v>
      </c>
      <c r="F219" t="str">
        <f t="shared" si="0"/>
        <v xml:space="preserve">     El riesgo afecta la imagen de la entidad con algunos usuarios de relevancia frente al logro de los objetivos</v>
      </c>
    </row>
    <row r="220" spans="1:8" x14ac:dyDescent="0.35">
      <c r="A220" s="78"/>
      <c r="B220" s="27"/>
      <c r="C220" s="27"/>
      <c r="E220" t="s">
        <v>98</v>
      </c>
      <c r="F220" t="str">
        <f t="shared" si="0"/>
        <v xml:space="preserve">     El riesgo afecta la imagen de de la entidad con efecto publicitario sostenido a nivel de sector administrativo, nivel departamental o municipal</v>
      </c>
    </row>
    <row r="221" spans="1:8" x14ac:dyDescent="0.35">
      <c r="A221" s="78"/>
      <c r="B221" s="27" t="str" cm="1">
        <f t="array" ref="B221:B223">_xlfn.UNIQUE(Tabla1[[#All],[Criterios]])</f>
        <v>Criterios</v>
      </c>
      <c r="C221" s="27"/>
      <c r="E221" t="s">
        <v>117</v>
      </c>
      <c r="F221" t="str">
        <f t="shared" si="0"/>
        <v xml:space="preserve">     El riesgo afecta la imagen de la entidad a nivel nacional, con efecto publicitarios sostenible a nivel país</v>
      </c>
    </row>
    <row r="222" spans="1:8" x14ac:dyDescent="0.35">
      <c r="A222" s="78"/>
      <c r="B222" s="27" t="str">
        <v>Afectación Económica o presupuestal</v>
      </c>
      <c r="C222" s="27"/>
    </row>
    <row r="223" spans="1:8" x14ac:dyDescent="0.35">
      <c r="B223" s="27" t="str">
        <v>Pérdida Reputacional</v>
      </c>
      <c r="C223" s="27"/>
      <c r="F223" s="30" t="s">
        <v>145</v>
      </c>
    </row>
    <row r="224" spans="1:8" x14ac:dyDescent="0.35">
      <c r="B224" s="20"/>
      <c r="C224" s="20"/>
      <c r="F224" s="30" t="s">
        <v>146</v>
      </c>
    </row>
    <row r="225" spans="2:4" x14ac:dyDescent="0.35">
      <c r="B225" s="20"/>
      <c r="C225" s="20"/>
    </row>
    <row r="226" spans="2:4" x14ac:dyDescent="0.35">
      <c r="B226" s="20"/>
      <c r="C226" s="20"/>
    </row>
    <row r="227" spans="2:4" x14ac:dyDescent="0.35">
      <c r="B227" s="20"/>
      <c r="C227" s="20"/>
      <c r="D227" s="20"/>
    </row>
    <row r="228" spans="2:4" x14ac:dyDescent="0.35">
      <c r="B228" s="20"/>
      <c r="C228" s="20"/>
      <c r="D228" s="20"/>
    </row>
    <row r="229" spans="2:4" x14ac:dyDescent="0.35">
      <c r="B229" s="20"/>
      <c r="C229" s="20"/>
      <c r="D229" s="20"/>
    </row>
    <row r="230" spans="2:4" x14ac:dyDescent="0.35">
      <c r="B230" s="20"/>
      <c r="C230" s="20"/>
      <c r="D230" s="20"/>
    </row>
    <row r="231" spans="2:4" x14ac:dyDescent="0.35">
      <c r="B231" s="20"/>
      <c r="C231" s="20"/>
      <c r="D231" s="20"/>
    </row>
    <row r="232" spans="2:4" x14ac:dyDescent="0.35">
      <c r="B232" s="20"/>
      <c r="C232" s="20"/>
      <c r="D232" s="20"/>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B9" sqref="B9:B14"/>
    </sheetView>
  </sheetViews>
  <sheetFormatPr baseColWidth="10" defaultColWidth="14.26953125" defaultRowHeight="13" x14ac:dyDescent="0.3"/>
  <cols>
    <col min="1" max="2" width="14.26953125" style="83"/>
    <col min="3" max="3" width="17" style="83" customWidth="1"/>
    <col min="4" max="4" width="14.26953125" style="83"/>
    <col min="5" max="5" width="46" style="83" customWidth="1"/>
    <col min="6" max="16384" width="14.26953125" style="83"/>
  </cols>
  <sheetData>
    <row r="1" spans="2:6" ht="24" customHeight="1" thickBot="1" x14ac:dyDescent="0.35">
      <c r="B1" s="410" t="s">
        <v>77</v>
      </c>
      <c r="C1" s="411"/>
      <c r="D1" s="411"/>
      <c r="E1" s="411"/>
      <c r="F1" s="412"/>
    </row>
    <row r="2" spans="2:6" ht="16" thickBot="1" x14ac:dyDescent="0.4">
      <c r="B2" s="84"/>
      <c r="C2" s="84"/>
      <c r="D2" s="84"/>
      <c r="E2" s="84"/>
      <c r="F2" s="84"/>
    </row>
    <row r="3" spans="2:6" ht="16" thickBot="1" x14ac:dyDescent="0.35">
      <c r="B3" s="414" t="s">
        <v>63</v>
      </c>
      <c r="C3" s="415"/>
      <c r="D3" s="415"/>
      <c r="E3" s="96" t="s">
        <v>64</v>
      </c>
      <c r="F3" s="97" t="s">
        <v>65</v>
      </c>
    </row>
    <row r="4" spans="2:6" ht="31" x14ac:dyDescent="0.3">
      <c r="B4" s="416" t="s">
        <v>66</v>
      </c>
      <c r="C4" s="418" t="s">
        <v>13</v>
      </c>
      <c r="D4" s="85" t="s">
        <v>14</v>
      </c>
      <c r="E4" s="86" t="s">
        <v>67</v>
      </c>
      <c r="F4" s="87">
        <v>0.25</v>
      </c>
    </row>
    <row r="5" spans="2:6" ht="46.5" x14ac:dyDescent="0.3">
      <c r="B5" s="417"/>
      <c r="C5" s="419"/>
      <c r="D5" s="88" t="s">
        <v>15</v>
      </c>
      <c r="E5" s="89" t="s">
        <v>68</v>
      </c>
      <c r="F5" s="90">
        <v>0.15</v>
      </c>
    </row>
    <row r="6" spans="2:6" ht="46.5" x14ac:dyDescent="0.3">
      <c r="B6" s="417"/>
      <c r="C6" s="419"/>
      <c r="D6" s="88" t="s">
        <v>16</v>
      </c>
      <c r="E6" s="89" t="s">
        <v>69</v>
      </c>
      <c r="F6" s="90">
        <v>0.1</v>
      </c>
    </row>
    <row r="7" spans="2:6" ht="62" x14ac:dyDescent="0.3">
      <c r="B7" s="417"/>
      <c r="C7" s="419" t="s">
        <v>17</v>
      </c>
      <c r="D7" s="88" t="s">
        <v>10</v>
      </c>
      <c r="E7" s="89" t="s">
        <v>70</v>
      </c>
      <c r="F7" s="90">
        <v>0.25</v>
      </c>
    </row>
    <row r="8" spans="2:6" ht="31" x14ac:dyDescent="0.3">
      <c r="B8" s="417"/>
      <c r="C8" s="419"/>
      <c r="D8" s="88" t="s">
        <v>9</v>
      </c>
      <c r="E8" s="89" t="s">
        <v>71</v>
      </c>
      <c r="F8" s="90">
        <v>0.15</v>
      </c>
    </row>
    <row r="9" spans="2:6" ht="46.5" x14ac:dyDescent="0.3">
      <c r="B9" s="417" t="s">
        <v>160</v>
      </c>
      <c r="C9" s="419" t="s">
        <v>18</v>
      </c>
      <c r="D9" s="88" t="s">
        <v>19</v>
      </c>
      <c r="E9" s="89" t="s">
        <v>72</v>
      </c>
      <c r="F9" s="91" t="s">
        <v>73</v>
      </c>
    </row>
    <row r="10" spans="2:6" ht="46.5" x14ac:dyDescent="0.3">
      <c r="B10" s="417"/>
      <c r="C10" s="419"/>
      <c r="D10" s="88" t="s">
        <v>20</v>
      </c>
      <c r="E10" s="89" t="s">
        <v>74</v>
      </c>
      <c r="F10" s="91" t="s">
        <v>73</v>
      </c>
    </row>
    <row r="11" spans="2:6" ht="46.5" x14ac:dyDescent="0.3">
      <c r="B11" s="417"/>
      <c r="C11" s="419" t="s">
        <v>21</v>
      </c>
      <c r="D11" s="88" t="s">
        <v>22</v>
      </c>
      <c r="E11" s="89" t="s">
        <v>75</v>
      </c>
      <c r="F11" s="91" t="s">
        <v>73</v>
      </c>
    </row>
    <row r="12" spans="2:6" ht="46.5" x14ac:dyDescent="0.3">
      <c r="B12" s="417"/>
      <c r="C12" s="419"/>
      <c r="D12" s="88" t="s">
        <v>23</v>
      </c>
      <c r="E12" s="89" t="s">
        <v>76</v>
      </c>
      <c r="F12" s="91" t="s">
        <v>73</v>
      </c>
    </row>
    <row r="13" spans="2:6" ht="31" x14ac:dyDescent="0.3">
      <c r="B13" s="417"/>
      <c r="C13" s="419" t="s">
        <v>24</v>
      </c>
      <c r="D13" s="88" t="s">
        <v>118</v>
      </c>
      <c r="E13" s="89" t="s">
        <v>121</v>
      </c>
      <c r="F13" s="91" t="s">
        <v>73</v>
      </c>
    </row>
    <row r="14" spans="2:6" ht="16" thickBot="1" x14ac:dyDescent="0.35">
      <c r="B14" s="420"/>
      <c r="C14" s="421"/>
      <c r="D14" s="92" t="s">
        <v>119</v>
      </c>
      <c r="E14" s="93" t="s">
        <v>120</v>
      </c>
      <c r="F14" s="94" t="s">
        <v>73</v>
      </c>
    </row>
    <row r="15" spans="2:6" ht="49.5" customHeight="1" x14ac:dyDescent="0.3">
      <c r="B15" s="413" t="s">
        <v>157</v>
      </c>
      <c r="C15" s="413"/>
      <c r="D15" s="413"/>
      <c r="E15" s="413"/>
      <c r="F15" s="413"/>
    </row>
    <row r="16" spans="2:6" ht="27" customHeight="1" x14ac:dyDescent="0.3">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4.5" x14ac:dyDescent="0.35"/>
  <sheetData>
    <row r="2" spans="2:5" x14ac:dyDescent="0.35">
      <c r="B2" t="s">
        <v>31</v>
      </c>
      <c r="E2" t="s">
        <v>131</v>
      </c>
    </row>
    <row r="3" spans="2:5" x14ac:dyDescent="0.35">
      <c r="B3" t="s">
        <v>32</v>
      </c>
      <c r="E3" t="s">
        <v>130</v>
      </c>
    </row>
    <row r="4" spans="2:5" x14ac:dyDescent="0.35">
      <c r="B4" t="s">
        <v>135</v>
      </c>
      <c r="E4" t="s">
        <v>132</v>
      </c>
    </row>
    <row r="5" spans="2:5" x14ac:dyDescent="0.35">
      <c r="B5" t="s">
        <v>134</v>
      </c>
    </row>
    <row r="8" spans="2:5" x14ac:dyDescent="0.35">
      <c r="B8" t="s">
        <v>85</v>
      </c>
    </row>
    <row r="9" spans="2:5" x14ac:dyDescent="0.35">
      <c r="B9" t="s">
        <v>40</v>
      </c>
    </row>
    <row r="10" spans="2:5" x14ac:dyDescent="0.35">
      <c r="B10" t="s">
        <v>41</v>
      </c>
    </row>
    <row r="13" spans="2:5" x14ac:dyDescent="0.35">
      <c r="B13" t="s">
        <v>128</v>
      </c>
    </row>
    <row r="14" spans="2:5" x14ac:dyDescent="0.35">
      <c r="B14" t="s">
        <v>122</v>
      </c>
    </row>
    <row r="15" spans="2:5" x14ac:dyDescent="0.35">
      <c r="B15" t="s">
        <v>125</v>
      </c>
    </row>
    <row r="16" spans="2:5" x14ac:dyDescent="0.35">
      <c r="B16" t="s">
        <v>123</v>
      </c>
    </row>
    <row r="17" spans="2:2" x14ac:dyDescent="0.35">
      <c r="B17" t="s">
        <v>124</v>
      </c>
    </row>
    <row r="18" spans="2:2" x14ac:dyDescent="0.35">
      <c r="B18" t="s">
        <v>126</v>
      </c>
    </row>
    <row r="19" spans="2:2" x14ac:dyDescent="0.35">
      <c r="B19" t="s">
        <v>127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53125" defaultRowHeight="13" x14ac:dyDescent="0.3"/>
  <cols>
    <col min="1" max="1" width="32.81640625" style="7" customWidth="1"/>
    <col min="2" max="16384" width="11.453125" style="7"/>
  </cols>
  <sheetData>
    <row r="3" spans="1:1" x14ac:dyDescent="0.3">
      <c r="A3" s="8" t="s">
        <v>14</v>
      </c>
    </row>
    <row r="4" spans="1:1" x14ac:dyDescent="0.3">
      <c r="A4" s="8" t="s">
        <v>15</v>
      </c>
    </row>
    <row r="5" spans="1:1" x14ac:dyDescent="0.3">
      <c r="A5" s="8" t="s">
        <v>16</v>
      </c>
    </row>
    <row r="6" spans="1:1" x14ac:dyDescent="0.3">
      <c r="A6" s="8" t="s">
        <v>10</v>
      </c>
    </row>
    <row r="7" spans="1:1" x14ac:dyDescent="0.3">
      <c r="A7" s="8" t="s">
        <v>9</v>
      </c>
    </row>
    <row r="8" spans="1:1" x14ac:dyDescent="0.3">
      <c r="A8" s="8" t="s">
        <v>19</v>
      </c>
    </row>
    <row r="9" spans="1:1" x14ac:dyDescent="0.3">
      <c r="A9" s="8" t="s">
        <v>20</v>
      </c>
    </row>
    <row r="10" spans="1:1" x14ac:dyDescent="0.3">
      <c r="A10" s="8" t="s">
        <v>22</v>
      </c>
    </row>
    <row r="11" spans="1:1" x14ac:dyDescent="0.3">
      <c r="A11" s="8" t="s">
        <v>23</v>
      </c>
    </row>
    <row r="12" spans="1:1" x14ac:dyDescent="0.3">
      <c r="A12" s="8" t="s">
        <v>25</v>
      </c>
    </row>
    <row r="13" spans="1:1" x14ac:dyDescent="0.3">
      <c r="A13" s="8" t="s">
        <v>26</v>
      </c>
    </row>
    <row r="14" spans="1:1" x14ac:dyDescent="0.3">
      <c r="A14" s="8" t="s">
        <v>27</v>
      </c>
    </row>
    <row r="16" spans="1:1" x14ac:dyDescent="0.3">
      <c r="A16" s="8" t="s">
        <v>30</v>
      </c>
    </row>
    <row r="17" spans="1:1" x14ac:dyDescent="0.3">
      <c r="A17" s="8" t="s">
        <v>31</v>
      </c>
    </row>
    <row r="18" spans="1:1" x14ac:dyDescent="0.3">
      <c r="A18" s="8" t="s">
        <v>32</v>
      </c>
    </row>
    <row r="20" spans="1:1" x14ac:dyDescent="0.3">
      <c r="A20" s="8" t="s">
        <v>40</v>
      </c>
    </row>
    <row r="21" spans="1:1" x14ac:dyDescent="0.3">
      <c r="A21" s="8"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Carolina</cp:lastModifiedBy>
  <cp:lastPrinted>2020-05-13T01:12:22Z</cp:lastPrinted>
  <dcterms:created xsi:type="dcterms:W3CDTF">2020-03-24T23:12:47Z</dcterms:created>
  <dcterms:modified xsi:type="dcterms:W3CDTF">2024-04-30T14:04:31Z</dcterms:modified>
</cp:coreProperties>
</file>