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C:\Users\Jefe Planeacion\Downloads\"/>
    </mc:Choice>
  </mc:AlternateContent>
  <xr:revisionPtr revIDLastSave="0" documentId="13_ncr:1_{F13E0AE2-47FA-4A5B-B61A-51CD6686EE08}" xr6:coauthVersionLast="47" xr6:coauthVersionMax="47" xr10:uidLastSave="{00000000-0000-0000-0000-000000000000}"/>
  <bookViews>
    <workbookView xWindow="-120" yWindow="-120" windowWidth="29040" windowHeight="15840" tabRatio="882" activeTab="1" xr2:uid="{7FCE2491-7981-304F-AD04-7EAB535D40C2}"/>
  </bookViews>
  <sheets>
    <sheet name="Intructivo" sheetId="20" r:id="rId1"/>
    <sheet name="Mapa final" sheetId="1" r:id="rId2"/>
    <sheet name="Control de cambio" sheetId="22"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definedNames>
    <definedName name="_xlnm._FilterDatabase" localSheetId="1" hidden="1">'Mapa final'!$A$6:$AL$62</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8" l="1"/>
  <c r="J40" i="18"/>
  <c r="J8" i="18" l="1"/>
  <c r="L24" i="18"/>
  <c r="N38" i="18"/>
  <c r="J20" i="1"/>
  <c r="K20" i="1" s="1"/>
  <c r="N20" i="1"/>
  <c r="O20" i="1" s="1"/>
  <c r="S20" i="1"/>
  <c r="V20" i="1"/>
  <c r="J21" i="1"/>
  <c r="K21" i="1" s="1"/>
  <c r="S21" i="1"/>
  <c r="V21" i="1"/>
  <c r="S23" i="1"/>
  <c r="AD23" i="1" s="1"/>
  <c r="AC23" i="1" s="1"/>
  <c r="S24" i="1"/>
  <c r="AD24" i="1" s="1"/>
  <c r="AC24" i="1" s="1"/>
  <c r="AA33" i="1"/>
  <c r="J33" i="1"/>
  <c r="P33" i="1" s="1"/>
  <c r="J9" i="1"/>
  <c r="K9" i="1" s="1"/>
  <c r="S9" i="1"/>
  <c r="V9" i="1"/>
  <c r="J10" i="1"/>
  <c r="K10" i="1" s="1"/>
  <c r="M10" i="1"/>
  <c r="N10" i="1" s="1"/>
  <c r="S10" i="1"/>
  <c r="V10" i="1"/>
  <c r="J11" i="1"/>
  <c r="K11" i="1" s="1"/>
  <c r="M11" i="1"/>
  <c r="N11" i="1" s="1"/>
  <c r="O11" i="1" s="1"/>
  <c r="S11" i="1"/>
  <c r="V11" i="1"/>
  <c r="J12" i="1"/>
  <c r="K12" i="1" s="1"/>
  <c r="M12" i="1"/>
  <c r="N12" i="1" s="1"/>
  <c r="S12" i="1"/>
  <c r="V12" i="1"/>
  <c r="J13" i="1"/>
  <c r="K13" i="1" s="1"/>
  <c r="M13" i="1"/>
  <c r="N13" i="1" s="1"/>
  <c r="S13" i="1"/>
  <c r="V13" i="1"/>
  <c r="J14" i="1"/>
  <c r="M14" i="1"/>
  <c r="N14" i="1" s="1"/>
  <c r="O14" i="1" s="1"/>
  <c r="S14" i="1"/>
  <c r="V14" i="1"/>
  <c r="J15" i="1"/>
  <c r="K15" i="1" s="1"/>
  <c r="S15" i="1"/>
  <c r="V15" i="1"/>
  <c r="J16" i="1"/>
  <c r="K16" i="1" s="1"/>
  <c r="M16" i="1"/>
  <c r="N16" i="1" s="1"/>
  <c r="S16" i="1"/>
  <c r="V16" i="1"/>
  <c r="J17" i="1"/>
  <c r="K17" i="1" s="1"/>
  <c r="M17" i="1"/>
  <c r="N17" i="1" s="1"/>
  <c r="O17" i="1" s="1"/>
  <c r="S17" i="1"/>
  <c r="V17" i="1"/>
  <c r="J18" i="1"/>
  <c r="K18" i="1" s="1"/>
  <c r="M18" i="1"/>
  <c r="N18" i="1" s="1"/>
  <c r="O18" i="1" s="1"/>
  <c r="S18" i="1"/>
  <c r="Z18" i="1" s="1"/>
  <c r="AA18" i="1" s="1"/>
  <c r="V18" i="1"/>
  <c r="J19" i="1"/>
  <c r="M19" i="1"/>
  <c r="N19" i="1" s="1"/>
  <c r="O19" i="1" s="1"/>
  <c r="S19" i="1"/>
  <c r="V19" i="1"/>
  <c r="J23" i="1"/>
  <c r="K23" i="1" s="1"/>
  <c r="V23" i="1"/>
  <c r="J24" i="1"/>
  <c r="K24" i="1" s="1"/>
  <c r="V24" i="1"/>
  <c r="J25" i="1"/>
  <c r="K25" i="1" s="1"/>
  <c r="M25" i="1"/>
  <c r="N25" i="1" s="1"/>
  <c r="O25" i="1" s="1"/>
  <c r="S25" i="1"/>
  <c r="V25" i="1"/>
  <c r="J26" i="1"/>
  <c r="K26" i="1" s="1"/>
  <c r="M26" i="1"/>
  <c r="N26" i="1" s="1"/>
  <c r="O26" i="1" s="1"/>
  <c r="S26" i="1"/>
  <c r="V26" i="1"/>
  <c r="J27" i="1"/>
  <c r="K27" i="1" s="1"/>
  <c r="M27" i="1"/>
  <c r="N27" i="1" s="1"/>
  <c r="O27" i="1" s="1"/>
  <c r="S27" i="1"/>
  <c r="V27" i="1"/>
  <c r="J28" i="1"/>
  <c r="K28" i="1" s="1"/>
  <c r="M28" i="1"/>
  <c r="N28" i="1" s="1"/>
  <c r="S28" i="1"/>
  <c r="V28" i="1"/>
  <c r="J29" i="1"/>
  <c r="K29" i="1" s="1"/>
  <c r="M29" i="1"/>
  <c r="N29" i="1" s="1"/>
  <c r="S29" i="1"/>
  <c r="V29" i="1"/>
  <c r="J30" i="1"/>
  <c r="K30" i="1" s="1"/>
  <c r="M30" i="1"/>
  <c r="N30" i="1" s="1"/>
  <c r="O30" i="1" s="1"/>
  <c r="S30" i="1"/>
  <c r="V30" i="1"/>
  <c r="J31" i="1"/>
  <c r="K31" i="1" s="1"/>
  <c r="M31" i="1"/>
  <c r="N31" i="1" s="1"/>
  <c r="O31" i="1" s="1"/>
  <c r="S31" i="1"/>
  <c r="V31" i="1"/>
  <c r="J32" i="1"/>
  <c r="K32" i="1" s="1"/>
  <c r="S32" i="1"/>
  <c r="V32" i="1"/>
  <c r="J34" i="1"/>
  <c r="K34" i="1" s="1"/>
  <c r="M34" i="1"/>
  <c r="N34" i="1" s="1"/>
  <c r="O34" i="1" s="1"/>
  <c r="S34" i="1"/>
  <c r="V34" i="1"/>
  <c r="J35" i="1"/>
  <c r="K35" i="1" s="1"/>
  <c r="M35" i="1"/>
  <c r="N35" i="1" s="1"/>
  <c r="O35" i="1" s="1"/>
  <c r="S35" i="1"/>
  <c r="V35" i="1"/>
  <c r="J36" i="1"/>
  <c r="K36" i="1" s="1"/>
  <c r="M36" i="1"/>
  <c r="O36" i="1"/>
  <c r="S36" i="1"/>
  <c r="V36" i="1"/>
  <c r="J37" i="1"/>
  <c r="K37" i="1" s="1"/>
  <c r="M37" i="1"/>
  <c r="N37" i="1" s="1"/>
  <c r="O37" i="1" s="1"/>
  <c r="S37" i="1"/>
  <c r="V37" i="1"/>
  <c r="J38" i="1"/>
  <c r="K38" i="1" s="1"/>
  <c r="M38" i="1"/>
  <c r="N38" i="1" s="1"/>
  <c r="S38" i="1"/>
  <c r="V38" i="1"/>
  <c r="J39" i="1"/>
  <c r="K39" i="1" s="1"/>
  <c r="M39" i="1"/>
  <c r="N39" i="1" s="1"/>
  <c r="O39" i="1" s="1"/>
  <c r="S39" i="1"/>
  <c r="V39" i="1"/>
  <c r="J40" i="1"/>
  <c r="M40" i="1"/>
  <c r="N40" i="1" s="1"/>
  <c r="O40" i="1" s="1"/>
  <c r="S40" i="1"/>
  <c r="V40" i="1"/>
  <c r="J41" i="1"/>
  <c r="K41" i="1" s="1"/>
  <c r="M41" i="1"/>
  <c r="N41" i="1" s="1"/>
  <c r="O41" i="1" s="1"/>
  <c r="S41" i="1"/>
  <c r="V41" i="1"/>
  <c r="J42" i="1"/>
  <c r="S42" i="1"/>
  <c r="V42" i="1"/>
  <c r="J43" i="1"/>
  <c r="K43" i="1" s="1"/>
  <c r="M43" i="1"/>
  <c r="N43" i="1" s="1"/>
  <c r="O43" i="1" s="1"/>
  <c r="S43" i="1"/>
  <c r="V43" i="1"/>
  <c r="J44" i="1"/>
  <c r="K44" i="1" s="1"/>
  <c r="M44" i="1"/>
  <c r="N44" i="1" s="1"/>
  <c r="O44" i="1" s="1"/>
  <c r="S44" i="1"/>
  <c r="V44" i="1"/>
  <c r="J45" i="1"/>
  <c r="K45" i="1" s="1"/>
  <c r="M45" i="1"/>
  <c r="N45" i="1" s="1"/>
  <c r="S45" i="1"/>
  <c r="V45" i="1"/>
  <c r="J46" i="1"/>
  <c r="K46" i="1" s="1"/>
  <c r="M46" i="1"/>
  <c r="N46" i="1" s="1"/>
  <c r="O46" i="1" s="1"/>
  <c r="S46" i="1"/>
  <c r="V46" i="1"/>
  <c r="J47" i="1"/>
  <c r="P47" i="1" s="1"/>
  <c r="S47" i="1"/>
  <c r="AD47" i="1" s="1"/>
  <c r="AC47" i="1" s="1"/>
  <c r="V47" i="1"/>
  <c r="J48" i="1"/>
  <c r="K48" i="1" s="1"/>
  <c r="S48" i="1"/>
  <c r="AD48" i="1" s="1"/>
  <c r="AC48" i="1" s="1"/>
  <c r="V48" i="1"/>
  <c r="J49" i="1"/>
  <c r="K49" i="1" s="1"/>
  <c r="S49" i="1"/>
  <c r="AD49" i="1" s="1"/>
  <c r="AC49" i="1" s="1"/>
  <c r="V49" i="1"/>
  <c r="J50" i="1"/>
  <c r="K50" i="1" s="1"/>
  <c r="M50" i="1"/>
  <c r="N50" i="1" s="1"/>
  <c r="O50" i="1" s="1"/>
  <c r="S50" i="1"/>
  <c r="V50" i="1"/>
  <c r="J51" i="1"/>
  <c r="K51" i="1" s="1"/>
  <c r="M51" i="1"/>
  <c r="N51" i="1" s="1"/>
  <c r="O51" i="1" s="1"/>
  <c r="S51" i="1"/>
  <c r="V51" i="1"/>
  <c r="J53" i="1"/>
  <c r="K53" i="1" s="1"/>
  <c r="M53" i="1"/>
  <c r="N53" i="1" s="1"/>
  <c r="O53" i="1" s="1"/>
  <c r="S53" i="1"/>
  <c r="V53" i="1"/>
  <c r="J54" i="1"/>
  <c r="K54" i="1" s="1"/>
  <c r="M54" i="1"/>
  <c r="N54" i="1" s="1"/>
  <c r="O54" i="1" s="1"/>
  <c r="S54" i="1"/>
  <c r="V54" i="1"/>
  <c r="J55" i="1"/>
  <c r="K55" i="1" s="1"/>
  <c r="M55" i="1"/>
  <c r="N55" i="1" s="1"/>
  <c r="S55" i="1"/>
  <c r="V55" i="1"/>
  <c r="J56" i="1"/>
  <c r="K56" i="1" s="1"/>
  <c r="M56" i="1"/>
  <c r="S56" i="1"/>
  <c r="V56" i="1"/>
  <c r="J57" i="1"/>
  <c r="K57" i="1" s="1"/>
  <c r="M57" i="1"/>
  <c r="S57" i="1"/>
  <c r="AD57" i="1" s="1"/>
  <c r="AC57" i="1" s="1"/>
  <c r="V57" i="1"/>
  <c r="J58" i="1"/>
  <c r="K58" i="1" s="1"/>
  <c r="M58" i="1"/>
  <c r="S58" i="1"/>
  <c r="V58" i="1"/>
  <c r="J59" i="1"/>
  <c r="K59" i="1" s="1"/>
  <c r="M59" i="1"/>
  <c r="S59" i="1"/>
  <c r="AD59" i="1" s="1"/>
  <c r="AC59" i="1" s="1"/>
  <c r="V59" i="1"/>
  <c r="J60" i="1"/>
  <c r="K60" i="1" s="1"/>
  <c r="M60" i="1"/>
  <c r="S60" i="1"/>
  <c r="AD60" i="1" s="1"/>
  <c r="AC60" i="1" s="1"/>
  <c r="V60" i="1"/>
  <c r="T6" i="18"/>
  <c r="Z6" i="18"/>
  <c r="AF6" i="18"/>
  <c r="AL6" i="18"/>
  <c r="L8" i="18"/>
  <c r="R8" i="18"/>
  <c r="X8" i="18"/>
  <c r="AD8" i="18"/>
  <c r="AJ8" i="18"/>
  <c r="J10" i="18"/>
  <c r="L10" i="18"/>
  <c r="P10" i="18"/>
  <c r="R10" i="18"/>
  <c r="V10" i="18"/>
  <c r="X10" i="18"/>
  <c r="AB10" i="18"/>
  <c r="AD10" i="18"/>
  <c r="AH10" i="18"/>
  <c r="AJ10" i="18"/>
  <c r="J12" i="18"/>
  <c r="L12" i="18"/>
  <c r="N12" i="18"/>
  <c r="P12" i="18"/>
  <c r="R12" i="18"/>
  <c r="T12" i="18"/>
  <c r="V12" i="18"/>
  <c r="X12" i="18"/>
  <c r="Z12" i="18"/>
  <c r="AB12" i="18"/>
  <c r="AD12" i="18"/>
  <c r="AF12" i="18"/>
  <c r="AH12" i="18"/>
  <c r="AJ12" i="18"/>
  <c r="AL12" i="18"/>
  <c r="N14" i="18"/>
  <c r="T14" i="18"/>
  <c r="Z14" i="18"/>
  <c r="AF14" i="18"/>
  <c r="AL14" i="18"/>
  <c r="L16" i="18"/>
  <c r="R16" i="18"/>
  <c r="X16" i="18"/>
  <c r="AD16" i="18"/>
  <c r="AJ16" i="18"/>
  <c r="J18" i="18"/>
  <c r="L18" i="18"/>
  <c r="P18" i="18"/>
  <c r="R18" i="18"/>
  <c r="V18" i="18"/>
  <c r="X18" i="18"/>
  <c r="AB18" i="18"/>
  <c r="AD18" i="18"/>
  <c r="AH18" i="18"/>
  <c r="AJ18" i="18"/>
  <c r="J20" i="18"/>
  <c r="L20" i="18"/>
  <c r="N20" i="18"/>
  <c r="P20" i="18"/>
  <c r="R20" i="18"/>
  <c r="T20" i="18"/>
  <c r="V20" i="18"/>
  <c r="X20" i="18"/>
  <c r="Z20" i="18"/>
  <c r="AB20" i="18"/>
  <c r="AD20" i="18"/>
  <c r="AF20" i="18"/>
  <c r="AH20" i="18"/>
  <c r="AJ20" i="18"/>
  <c r="AL20" i="18"/>
  <c r="N22" i="18"/>
  <c r="T22" i="18"/>
  <c r="Z22" i="18"/>
  <c r="AF22" i="18"/>
  <c r="AL22" i="18"/>
  <c r="R24" i="18"/>
  <c r="X24" i="18"/>
  <c r="AD24" i="18"/>
  <c r="AJ24" i="18"/>
  <c r="J26" i="18"/>
  <c r="L26" i="18"/>
  <c r="P26" i="18"/>
  <c r="R26" i="18"/>
  <c r="V26" i="18"/>
  <c r="X26" i="18"/>
  <c r="AB26" i="18"/>
  <c r="AD26" i="18"/>
  <c r="AH26" i="18"/>
  <c r="AJ26" i="18"/>
  <c r="J28" i="18"/>
  <c r="L28" i="18"/>
  <c r="N28" i="18"/>
  <c r="P28" i="18"/>
  <c r="R28" i="18"/>
  <c r="T28" i="18"/>
  <c r="V28" i="18"/>
  <c r="X28" i="18"/>
  <c r="Z28" i="18"/>
  <c r="AB28" i="18"/>
  <c r="AD28" i="18"/>
  <c r="AF28" i="18"/>
  <c r="AH28" i="18"/>
  <c r="AJ28" i="18"/>
  <c r="AL28" i="18"/>
  <c r="N30" i="18"/>
  <c r="T30" i="18"/>
  <c r="Z30" i="18"/>
  <c r="AF30" i="18"/>
  <c r="AL30" i="18"/>
  <c r="L32" i="18"/>
  <c r="R32" i="18"/>
  <c r="X32" i="18"/>
  <c r="AD32" i="18"/>
  <c r="AJ32" i="18"/>
  <c r="J34" i="18"/>
  <c r="L34" i="18"/>
  <c r="P34" i="18"/>
  <c r="R34" i="18"/>
  <c r="V34" i="18"/>
  <c r="X34" i="18"/>
  <c r="AB34" i="18"/>
  <c r="AD34" i="18"/>
  <c r="AH34" i="18"/>
  <c r="AJ34" i="18"/>
  <c r="J36" i="18"/>
  <c r="L36" i="18"/>
  <c r="N36" i="18"/>
  <c r="P36" i="18"/>
  <c r="R36" i="18"/>
  <c r="T36" i="18"/>
  <c r="V36" i="18"/>
  <c r="X36" i="18"/>
  <c r="Z36" i="18"/>
  <c r="AB36" i="18"/>
  <c r="AD36" i="18"/>
  <c r="AF36" i="18"/>
  <c r="AH36" i="18"/>
  <c r="AJ36" i="18"/>
  <c r="AL36" i="18"/>
  <c r="T38" i="18"/>
  <c r="Z38" i="18"/>
  <c r="AF38" i="18"/>
  <c r="AL38" i="18"/>
  <c r="L40" i="18"/>
  <c r="R40" i="18"/>
  <c r="X40" i="18"/>
  <c r="AD40" i="18"/>
  <c r="AJ40" i="18"/>
  <c r="J42" i="18"/>
  <c r="L42" i="18"/>
  <c r="P42" i="18"/>
  <c r="R42" i="18"/>
  <c r="V42" i="18"/>
  <c r="X42" i="18"/>
  <c r="AB42" i="18"/>
  <c r="AD42" i="18"/>
  <c r="AH42" i="18"/>
  <c r="AJ42" i="18"/>
  <c r="J44" i="18"/>
  <c r="L44" i="18"/>
  <c r="N44" i="18"/>
  <c r="P44" i="18"/>
  <c r="R44" i="18"/>
  <c r="T44" i="18"/>
  <c r="V44" i="18"/>
  <c r="X44" i="18"/>
  <c r="Z44" i="18"/>
  <c r="AB44" i="18"/>
  <c r="AD44" i="18"/>
  <c r="AF44" i="18"/>
  <c r="AH44" i="18"/>
  <c r="AJ44" i="18"/>
  <c r="AL44" i="18"/>
  <c r="O7" i="19"/>
  <c r="U7" i="19"/>
  <c r="AA7" i="19"/>
  <c r="AG7" i="19"/>
  <c r="AM7" i="19"/>
  <c r="J8" i="19"/>
  <c r="K8" i="19"/>
  <c r="L8" i="19"/>
  <c r="M8" i="19"/>
  <c r="P8" i="19"/>
  <c r="Q8" i="19"/>
  <c r="R8" i="19"/>
  <c r="S8" i="19"/>
  <c r="V8" i="19"/>
  <c r="W8" i="19"/>
  <c r="X8" i="19"/>
  <c r="Y8" i="19"/>
  <c r="AB8" i="19"/>
  <c r="AC8" i="19"/>
  <c r="AD8" i="19"/>
  <c r="AE8" i="19"/>
  <c r="AH8" i="19"/>
  <c r="AI8" i="19"/>
  <c r="AJ8" i="19"/>
  <c r="AK8" i="19"/>
  <c r="K9" i="19"/>
  <c r="N9" i="19"/>
  <c r="Q9" i="19"/>
  <c r="T9" i="19"/>
  <c r="W9" i="19"/>
  <c r="Z9" i="19"/>
  <c r="AC9" i="19"/>
  <c r="AF9" i="19"/>
  <c r="AI9" i="19"/>
  <c r="AL9" i="19"/>
  <c r="J10" i="19"/>
  <c r="P10" i="19"/>
  <c r="V10" i="19"/>
  <c r="AB10" i="19"/>
  <c r="AH10" i="19"/>
  <c r="K11" i="19"/>
  <c r="L11" i="19"/>
  <c r="O11" i="19"/>
  <c r="Q11" i="19"/>
  <c r="R11" i="19"/>
  <c r="U11" i="19"/>
  <c r="W11" i="19"/>
  <c r="X11" i="19"/>
  <c r="AA11" i="19"/>
  <c r="AC11" i="19"/>
  <c r="AD11" i="19"/>
  <c r="AG11" i="19"/>
  <c r="AI11" i="19"/>
  <c r="AJ11" i="19"/>
  <c r="AM11" i="19"/>
  <c r="J12" i="19"/>
  <c r="M12" i="19"/>
  <c r="N12" i="19"/>
  <c r="O12" i="19"/>
  <c r="P12" i="19"/>
  <c r="S12" i="19"/>
  <c r="T12" i="19"/>
  <c r="U12" i="19"/>
  <c r="V12" i="19"/>
  <c r="Y12" i="19"/>
  <c r="Z12" i="19"/>
  <c r="AA12" i="19"/>
  <c r="AB12" i="19"/>
  <c r="AE12" i="19"/>
  <c r="AF12" i="19"/>
  <c r="AG12" i="19"/>
  <c r="AH12" i="19"/>
  <c r="AK12" i="19"/>
  <c r="AL12" i="19"/>
  <c r="AM12" i="19"/>
  <c r="J13" i="19"/>
  <c r="K13" i="19"/>
  <c r="N13" i="19"/>
  <c r="O13" i="19"/>
  <c r="P13" i="19"/>
  <c r="Q13" i="19"/>
  <c r="T13" i="19"/>
  <c r="U13" i="19"/>
  <c r="V13" i="19"/>
  <c r="W13" i="19"/>
  <c r="Z13" i="19"/>
  <c r="AA13" i="19"/>
  <c r="AB13" i="19"/>
  <c r="AC13" i="19"/>
  <c r="AF13" i="19"/>
  <c r="AG13" i="19"/>
  <c r="AH13" i="19"/>
  <c r="AI13" i="19"/>
  <c r="AL13" i="19"/>
  <c r="AM13" i="19"/>
  <c r="L14" i="19"/>
  <c r="R14" i="19"/>
  <c r="X14" i="19"/>
  <c r="AD14" i="19"/>
  <c r="AJ14" i="19"/>
  <c r="J15" i="19"/>
  <c r="L15" i="19"/>
  <c r="M15" i="19"/>
  <c r="N15" i="19"/>
  <c r="O15" i="19"/>
  <c r="P15" i="19"/>
  <c r="R15" i="19"/>
  <c r="S15" i="19"/>
  <c r="T15" i="19"/>
  <c r="U15" i="19"/>
  <c r="V15" i="19"/>
  <c r="X15" i="19"/>
  <c r="Y15" i="19"/>
  <c r="Z15" i="19"/>
  <c r="AA15" i="19"/>
  <c r="AB15" i="19"/>
  <c r="AD15" i="19"/>
  <c r="AE15" i="19"/>
  <c r="AF15" i="19"/>
  <c r="AG15" i="19"/>
  <c r="AH15" i="19"/>
  <c r="AJ15" i="19"/>
  <c r="AK15" i="19"/>
  <c r="AL15" i="19"/>
  <c r="AM15" i="19"/>
  <c r="O17" i="19"/>
  <c r="U17" i="19"/>
  <c r="AA17" i="19"/>
  <c r="AG17" i="19"/>
  <c r="AM17" i="19"/>
  <c r="J18" i="19"/>
  <c r="K18" i="19"/>
  <c r="L18" i="19"/>
  <c r="M18" i="19"/>
  <c r="P18" i="19"/>
  <c r="Q18" i="19"/>
  <c r="R18" i="19"/>
  <c r="S18" i="19"/>
  <c r="V18" i="19"/>
  <c r="W18" i="19"/>
  <c r="X18" i="19"/>
  <c r="Y18" i="19"/>
  <c r="AB18" i="19"/>
  <c r="AC18" i="19"/>
  <c r="AD18" i="19"/>
  <c r="AE18" i="19"/>
  <c r="AH18" i="19"/>
  <c r="AI18" i="19"/>
  <c r="AJ18" i="19"/>
  <c r="AK18" i="19"/>
  <c r="K19" i="19"/>
  <c r="N19" i="19"/>
  <c r="Q19" i="19"/>
  <c r="T19" i="19"/>
  <c r="W19" i="19"/>
  <c r="Z19" i="19"/>
  <c r="AC19" i="19"/>
  <c r="AF19" i="19"/>
  <c r="AI19" i="19"/>
  <c r="AL19" i="19"/>
  <c r="J20" i="19"/>
  <c r="P20" i="19"/>
  <c r="V20" i="19"/>
  <c r="AB20" i="19"/>
  <c r="AH20" i="19"/>
  <c r="K21" i="19"/>
  <c r="L21" i="19"/>
  <c r="O21" i="19"/>
  <c r="Q21" i="19"/>
  <c r="R21" i="19"/>
  <c r="U21" i="19"/>
  <c r="W21" i="19"/>
  <c r="X21" i="19"/>
  <c r="AA21" i="19"/>
  <c r="AC21" i="19"/>
  <c r="AD21" i="19"/>
  <c r="AG21" i="19"/>
  <c r="AI21" i="19"/>
  <c r="AJ21" i="19"/>
  <c r="AM21" i="19"/>
  <c r="J22" i="19"/>
  <c r="M22" i="19"/>
  <c r="N22" i="19"/>
  <c r="O22" i="19"/>
  <c r="P22" i="19"/>
  <c r="S22" i="19"/>
  <c r="T22" i="19"/>
  <c r="U22" i="19"/>
  <c r="V22" i="19"/>
  <c r="Y22" i="19"/>
  <c r="Z22" i="19"/>
  <c r="AA22" i="19"/>
  <c r="AB22" i="19"/>
  <c r="AE22" i="19"/>
  <c r="AF22" i="19"/>
  <c r="AG22" i="19"/>
  <c r="AH22" i="19"/>
  <c r="AK22" i="19"/>
  <c r="AL22" i="19"/>
  <c r="AM22" i="19"/>
  <c r="J23" i="19"/>
  <c r="K23" i="19"/>
  <c r="N23" i="19"/>
  <c r="O23" i="19"/>
  <c r="P23" i="19"/>
  <c r="Q23" i="19"/>
  <c r="T23" i="19"/>
  <c r="U23" i="19"/>
  <c r="V23" i="19"/>
  <c r="W23" i="19"/>
  <c r="Z23" i="19"/>
  <c r="AA23" i="19"/>
  <c r="AB23" i="19"/>
  <c r="AC23" i="19"/>
  <c r="AF23" i="19"/>
  <c r="AG23" i="19"/>
  <c r="AH23" i="19"/>
  <c r="AI23" i="19"/>
  <c r="AL23" i="19"/>
  <c r="AM23" i="19"/>
  <c r="L24" i="19"/>
  <c r="R24" i="19"/>
  <c r="X24" i="19"/>
  <c r="AD24" i="19"/>
  <c r="AJ24" i="19"/>
  <c r="J25" i="19"/>
  <c r="L25" i="19"/>
  <c r="M25" i="19"/>
  <c r="N25" i="19"/>
  <c r="O25" i="19"/>
  <c r="P25" i="19"/>
  <c r="R25" i="19"/>
  <c r="S25" i="19"/>
  <c r="T25" i="19"/>
  <c r="U25" i="19"/>
  <c r="V25" i="19"/>
  <c r="X25" i="19"/>
  <c r="Y25" i="19"/>
  <c r="Z25" i="19"/>
  <c r="AA25" i="19"/>
  <c r="AB25" i="19"/>
  <c r="AD25" i="19"/>
  <c r="AE25" i="19"/>
  <c r="AF25" i="19"/>
  <c r="AG25" i="19"/>
  <c r="AH25" i="19"/>
  <c r="AJ25" i="19"/>
  <c r="AK25" i="19"/>
  <c r="AL25" i="19"/>
  <c r="AM25" i="19"/>
  <c r="O27" i="19"/>
  <c r="U27" i="19"/>
  <c r="AA27" i="19"/>
  <c r="AG27" i="19"/>
  <c r="AM27" i="19"/>
  <c r="J28" i="19"/>
  <c r="K28" i="19"/>
  <c r="L28" i="19"/>
  <c r="M28" i="19"/>
  <c r="P28" i="19"/>
  <c r="Q28" i="19"/>
  <c r="R28" i="19"/>
  <c r="S28" i="19"/>
  <c r="V28" i="19"/>
  <c r="W28" i="19"/>
  <c r="X28" i="19"/>
  <c r="Y28" i="19"/>
  <c r="AB28" i="19"/>
  <c r="AC28" i="19"/>
  <c r="AD28" i="19"/>
  <c r="AE28" i="19"/>
  <c r="AH28" i="19"/>
  <c r="AI28" i="19"/>
  <c r="AJ28" i="19"/>
  <c r="AK28" i="19"/>
  <c r="K29" i="19"/>
  <c r="N29" i="19"/>
  <c r="Q29" i="19"/>
  <c r="T29" i="19"/>
  <c r="W29" i="19"/>
  <c r="Z29" i="19"/>
  <c r="AC29" i="19"/>
  <c r="AF29" i="19"/>
  <c r="AI29" i="19"/>
  <c r="AL29" i="19"/>
  <c r="J30" i="19"/>
  <c r="P30" i="19"/>
  <c r="V30" i="19"/>
  <c r="AB30" i="19"/>
  <c r="AH30" i="19"/>
  <c r="K31" i="19"/>
  <c r="L31" i="19"/>
  <c r="O31" i="19"/>
  <c r="Q31" i="19"/>
  <c r="R31" i="19"/>
  <c r="U31" i="19"/>
  <c r="W31" i="19"/>
  <c r="X31" i="19"/>
  <c r="AA31" i="19"/>
  <c r="AC31" i="19"/>
  <c r="AD31" i="19"/>
  <c r="AG31" i="19"/>
  <c r="AI31" i="19"/>
  <c r="AJ31" i="19"/>
  <c r="AM31" i="19"/>
  <c r="J32" i="19"/>
  <c r="M32" i="19"/>
  <c r="N32" i="19"/>
  <c r="O32" i="19"/>
  <c r="P32" i="19"/>
  <c r="S32" i="19"/>
  <c r="T32" i="19"/>
  <c r="U32" i="19"/>
  <c r="V32" i="19"/>
  <c r="Y32" i="19"/>
  <c r="Z32" i="19"/>
  <c r="AA32" i="19"/>
  <c r="AB32" i="19"/>
  <c r="AE32" i="19"/>
  <c r="AF32" i="19"/>
  <c r="AG32" i="19"/>
  <c r="AH32" i="19"/>
  <c r="AK32" i="19"/>
  <c r="AL32" i="19"/>
  <c r="AM32" i="19"/>
  <c r="J33" i="19"/>
  <c r="K33" i="19"/>
  <c r="N33" i="19"/>
  <c r="O33" i="19"/>
  <c r="P33" i="19"/>
  <c r="Q33" i="19"/>
  <c r="T33" i="19"/>
  <c r="U33" i="19"/>
  <c r="V33" i="19"/>
  <c r="W33" i="19"/>
  <c r="Z33" i="19"/>
  <c r="AA33" i="19"/>
  <c r="AB33" i="19"/>
  <c r="AC33" i="19"/>
  <c r="AF33" i="19"/>
  <c r="AG33" i="19"/>
  <c r="AH33" i="19"/>
  <c r="AI33" i="19"/>
  <c r="AL33" i="19"/>
  <c r="AM33" i="19"/>
  <c r="L34" i="19"/>
  <c r="R34" i="19"/>
  <c r="X34" i="19"/>
  <c r="AD34" i="19"/>
  <c r="AJ34" i="19"/>
  <c r="J35" i="19"/>
  <c r="L35" i="19"/>
  <c r="M35" i="19"/>
  <c r="N35" i="19"/>
  <c r="O35" i="19"/>
  <c r="P35" i="19"/>
  <c r="R35" i="19"/>
  <c r="S35" i="19"/>
  <c r="T35" i="19"/>
  <c r="U35" i="19"/>
  <c r="V35" i="19"/>
  <c r="X35" i="19"/>
  <c r="Y35" i="19"/>
  <c r="Z35" i="19"/>
  <c r="AA35" i="19"/>
  <c r="AB35" i="19"/>
  <c r="AD35" i="19"/>
  <c r="AE35" i="19"/>
  <c r="AF35" i="19"/>
  <c r="AG35" i="19"/>
  <c r="AH35" i="19"/>
  <c r="AJ35" i="19"/>
  <c r="AK35" i="19"/>
  <c r="AL35" i="19"/>
  <c r="AM35" i="19"/>
  <c r="O37" i="19"/>
  <c r="U37" i="19"/>
  <c r="AA37" i="19"/>
  <c r="AG37" i="19"/>
  <c r="AM37" i="19"/>
  <c r="J38" i="19"/>
  <c r="K38" i="19"/>
  <c r="L38" i="19"/>
  <c r="M38" i="19"/>
  <c r="P38" i="19"/>
  <c r="Q38" i="19"/>
  <c r="R38" i="19"/>
  <c r="S38" i="19"/>
  <c r="V38" i="19"/>
  <c r="W38" i="19"/>
  <c r="X38" i="19"/>
  <c r="Y38" i="19"/>
  <c r="AB38" i="19"/>
  <c r="AC38" i="19"/>
  <c r="AD38" i="19"/>
  <c r="AE38" i="19"/>
  <c r="AH38" i="19"/>
  <c r="AI38" i="19"/>
  <c r="AJ38" i="19"/>
  <c r="AK38" i="19"/>
  <c r="K39" i="19"/>
  <c r="N39" i="19"/>
  <c r="Q39" i="19"/>
  <c r="T39" i="19"/>
  <c r="W39" i="19"/>
  <c r="Z39" i="19"/>
  <c r="AC39" i="19"/>
  <c r="AF39" i="19"/>
  <c r="AI39" i="19"/>
  <c r="AL39" i="19"/>
  <c r="J40" i="19"/>
  <c r="P40" i="19"/>
  <c r="V40" i="19"/>
  <c r="AB40" i="19"/>
  <c r="AH40" i="19"/>
  <c r="K41" i="19"/>
  <c r="L41" i="19"/>
  <c r="O41" i="19"/>
  <c r="Q41" i="19"/>
  <c r="R41" i="19"/>
  <c r="U41" i="19"/>
  <c r="W41" i="19"/>
  <c r="X41" i="19"/>
  <c r="AA41" i="19"/>
  <c r="AC41" i="19"/>
  <c r="AD41" i="19"/>
  <c r="AG41" i="19"/>
  <c r="AI41" i="19"/>
  <c r="AJ41" i="19"/>
  <c r="AM41" i="19"/>
  <c r="J42" i="19"/>
  <c r="M42" i="19"/>
  <c r="N42" i="19"/>
  <c r="O42" i="19"/>
  <c r="P42" i="19"/>
  <c r="S42" i="19"/>
  <c r="T42" i="19"/>
  <c r="U42" i="19"/>
  <c r="V42" i="19"/>
  <c r="Y42" i="19"/>
  <c r="Z42" i="19"/>
  <c r="AA42" i="19"/>
  <c r="AB42" i="19"/>
  <c r="AE42" i="19"/>
  <c r="AF42" i="19"/>
  <c r="AG42" i="19"/>
  <c r="AH42" i="19"/>
  <c r="AK42" i="19"/>
  <c r="AL42" i="19"/>
  <c r="AM42" i="19"/>
  <c r="J43" i="19"/>
  <c r="K43" i="19"/>
  <c r="N43" i="19"/>
  <c r="O43" i="19"/>
  <c r="P43" i="19"/>
  <c r="Q43" i="19"/>
  <c r="T43" i="19"/>
  <c r="U43" i="19"/>
  <c r="V43" i="19"/>
  <c r="W43" i="19"/>
  <c r="Z43" i="19"/>
  <c r="AA43" i="19"/>
  <c r="AB43" i="19"/>
  <c r="AC43" i="19"/>
  <c r="AF43" i="19"/>
  <c r="AG43" i="19"/>
  <c r="AH43" i="19"/>
  <c r="AI43" i="19"/>
  <c r="AL43" i="19"/>
  <c r="AM43" i="19"/>
  <c r="L44" i="19"/>
  <c r="R44" i="19"/>
  <c r="X44" i="19"/>
  <c r="AD44" i="19"/>
  <c r="AJ44" i="19"/>
  <c r="J45" i="19"/>
  <c r="L45" i="19"/>
  <c r="M45" i="19"/>
  <c r="N45" i="19"/>
  <c r="O45" i="19"/>
  <c r="P45" i="19"/>
  <c r="R45" i="19"/>
  <c r="S45" i="19"/>
  <c r="T45" i="19"/>
  <c r="U45" i="19"/>
  <c r="V45" i="19"/>
  <c r="X45" i="19"/>
  <c r="Y45" i="19"/>
  <c r="Z45" i="19"/>
  <c r="AA45" i="19"/>
  <c r="AB45" i="19"/>
  <c r="AD45" i="19"/>
  <c r="AE45" i="19"/>
  <c r="AF45" i="19"/>
  <c r="AG45" i="19"/>
  <c r="AH45" i="19"/>
  <c r="AJ45" i="19"/>
  <c r="AK45" i="19"/>
  <c r="AL45" i="19"/>
  <c r="AM45" i="19"/>
  <c r="O47" i="19"/>
  <c r="U47" i="19"/>
  <c r="AA47" i="19"/>
  <c r="AG47" i="19"/>
  <c r="AM47" i="19"/>
  <c r="J48" i="19"/>
  <c r="K48" i="19"/>
  <c r="L48" i="19"/>
  <c r="M48" i="19"/>
  <c r="P48" i="19"/>
  <c r="Q48" i="19"/>
  <c r="R48" i="19"/>
  <c r="S48" i="19"/>
  <c r="V48" i="19"/>
  <c r="W48" i="19"/>
  <c r="X48" i="19"/>
  <c r="Y48" i="19"/>
  <c r="AB48" i="19"/>
  <c r="AC48" i="19"/>
  <c r="AD48" i="19"/>
  <c r="AE48" i="19"/>
  <c r="AH48" i="19"/>
  <c r="AI48" i="19"/>
  <c r="AJ48" i="19"/>
  <c r="AK48" i="19"/>
  <c r="K49" i="19"/>
  <c r="N49" i="19"/>
  <c r="Q49" i="19"/>
  <c r="T49" i="19"/>
  <c r="W49" i="19"/>
  <c r="Z49" i="19"/>
  <c r="AC49" i="19"/>
  <c r="AF49" i="19"/>
  <c r="AI49" i="19"/>
  <c r="AL49" i="19"/>
  <c r="J50" i="19"/>
  <c r="P50" i="19"/>
  <c r="V50" i="19"/>
  <c r="AB50" i="19"/>
  <c r="AH50" i="19"/>
  <c r="K51" i="19"/>
  <c r="L51" i="19"/>
  <c r="O51" i="19"/>
  <c r="Q51" i="19"/>
  <c r="R51" i="19"/>
  <c r="U51" i="19"/>
  <c r="W51" i="19"/>
  <c r="X51" i="19"/>
  <c r="AA51" i="19"/>
  <c r="AC51" i="19"/>
  <c r="AD51" i="19"/>
  <c r="AG51" i="19"/>
  <c r="AI51" i="19"/>
  <c r="AJ51" i="19"/>
  <c r="AM51" i="19"/>
  <c r="J52" i="19"/>
  <c r="M52" i="19"/>
  <c r="N52" i="19"/>
  <c r="O52" i="19"/>
  <c r="P52" i="19"/>
  <c r="S52" i="19"/>
  <c r="T52" i="19"/>
  <c r="U52" i="19"/>
  <c r="V52" i="19"/>
  <c r="Y52" i="19"/>
  <c r="Z52" i="19"/>
  <c r="AA52" i="19"/>
  <c r="AB52" i="19"/>
  <c r="AE52" i="19"/>
  <c r="AF52" i="19"/>
  <c r="AG52" i="19"/>
  <c r="AH52" i="19"/>
  <c r="AK52" i="19"/>
  <c r="AL52" i="19"/>
  <c r="AM52" i="19"/>
  <c r="J53" i="19"/>
  <c r="K53" i="19"/>
  <c r="N53" i="19"/>
  <c r="O53" i="19"/>
  <c r="P53" i="19"/>
  <c r="Q53" i="19"/>
  <c r="T53" i="19"/>
  <c r="U53" i="19"/>
  <c r="V53" i="19"/>
  <c r="W53" i="19"/>
  <c r="Z53" i="19"/>
  <c r="AA53" i="19"/>
  <c r="AB53" i="19"/>
  <c r="AC53" i="19"/>
  <c r="AF53" i="19"/>
  <c r="AG53" i="19"/>
  <c r="AH53" i="19"/>
  <c r="AI53" i="19"/>
  <c r="AL53" i="19"/>
  <c r="AM53" i="19"/>
  <c r="L54" i="19"/>
  <c r="R54" i="19"/>
  <c r="X54" i="19"/>
  <c r="AD54" i="19"/>
  <c r="AJ54" i="19"/>
  <c r="J55" i="19"/>
  <c r="L55" i="19"/>
  <c r="M55" i="19"/>
  <c r="N55" i="19"/>
  <c r="O55" i="19"/>
  <c r="P55" i="19"/>
  <c r="R55" i="19"/>
  <c r="S55" i="19"/>
  <c r="T55" i="19"/>
  <c r="U55" i="19"/>
  <c r="V55" i="19"/>
  <c r="X55" i="19"/>
  <c r="Y55" i="19"/>
  <c r="Z55" i="19"/>
  <c r="AA55" i="19"/>
  <c r="AB55" i="19"/>
  <c r="AD55" i="19"/>
  <c r="AE55" i="19"/>
  <c r="AF55" i="19"/>
  <c r="AG55" i="19"/>
  <c r="AH55" i="19"/>
  <c r="AJ55" i="19"/>
  <c r="AK55" i="19"/>
  <c r="AL55" i="19"/>
  <c r="AM55" i="19"/>
  <c r="F210" i="13"/>
  <c r="F211" i="13"/>
  <c r="F212" i="13"/>
  <c r="F213" i="13"/>
  <c r="F214" i="13"/>
  <c r="F215" i="13"/>
  <c r="F216" i="13"/>
  <c r="F217" i="13"/>
  <c r="F218" i="13"/>
  <c r="F219" i="13"/>
  <c r="F220" i="13"/>
  <c r="B221" i="13" a="1"/>
  <c r="F221" i="13"/>
  <c r="M41" i="19"/>
  <c r="AE31" i="19"/>
  <c r="AE41" i="19"/>
  <c r="M11" i="19"/>
  <c r="AK51" i="19"/>
  <c r="Y11" i="19"/>
  <c r="Y21" i="19"/>
  <c r="AE11" i="19"/>
  <c r="S51" i="19"/>
  <c r="M21" i="19"/>
  <c r="AK11" i="19"/>
  <c r="S21" i="19"/>
  <c r="M51" i="19"/>
  <c r="AK31" i="19"/>
  <c r="Y31" i="19"/>
  <c r="AK21" i="19"/>
  <c r="AK41" i="19"/>
  <c r="AE51" i="19"/>
  <c r="S31" i="19"/>
  <c r="S11" i="19"/>
  <c r="S41" i="19"/>
  <c r="Y41" i="19"/>
  <c r="M31" i="19"/>
  <c r="Y51" i="19"/>
  <c r="AE21" i="19"/>
  <c r="N21" i="1"/>
  <c r="O21" i="1" s="1"/>
  <c r="AB8" i="18"/>
  <c r="AH16" i="18"/>
  <c r="V16" i="18"/>
  <c r="AH32" i="18"/>
  <c r="P24" i="18"/>
  <c r="J24" i="18"/>
  <c r="AB24" i="18"/>
  <c r="AH24" i="18"/>
  <c r="AH8" i="18"/>
  <c r="V32" i="18"/>
  <c r="AH9" i="19"/>
  <c r="J32" i="18"/>
  <c r="AB32" i="18"/>
  <c r="V24" i="18"/>
  <c r="P32" i="18"/>
  <c r="V8" i="18"/>
  <c r="P8" i="18"/>
  <c r="V40" i="18"/>
  <c r="P16" i="18"/>
  <c r="AH40" i="18"/>
  <c r="J16" i="18"/>
  <c r="P40" i="18"/>
  <c r="AB40" i="18"/>
  <c r="AB16" i="18"/>
  <c r="AB49" i="19"/>
  <c r="J9" i="19"/>
  <c r="P9" i="19"/>
  <c r="V19" i="19"/>
  <c r="J19" i="19"/>
  <c r="AH39" i="19"/>
  <c r="AH19" i="19"/>
  <c r="P39" i="19"/>
  <c r="V39" i="19"/>
  <c r="P49" i="19"/>
  <c r="AB29" i="19"/>
  <c r="J39" i="19"/>
  <c r="AB9" i="19"/>
  <c r="J29" i="19"/>
  <c r="AB39" i="19"/>
  <c r="P19" i="19"/>
  <c r="V49" i="19"/>
  <c r="P29" i="19"/>
  <c r="AB19" i="19"/>
  <c r="J49" i="19"/>
  <c r="V29" i="19"/>
  <c r="AH29" i="19"/>
  <c r="AH49" i="19"/>
  <c r="V9" i="19"/>
  <c r="AG24" i="19"/>
  <c r="U14" i="19"/>
  <c r="AG14" i="19"/>
  <c r="AG34" i="19"/>
  <c r="O44" i="19"/>
  <c r="AG44" i="19"/>
  <c r="AM54" i="19"/>
  <c r="AM14" i="19"/>
  <c r="U24" i="19"/>
  <c r="AG54" i="19"/>
  <c r="O54" i="19"/>
  <c r="AA24" i="19"/>
  <c r="U34" i="19"/>
  <c r="AA34" i="19"/>
  <c r="AM24" i="19"/>
  <c r="U54" i="19"/>
  <c r="O14" i="19"/>
  <c r="O34" i="19"/>
  <c r="AA54" i="19"/>
  <c r="AM44" i="19"/>
  <c r="U44" i="19"/>
  <c r="AA44" i="19"/>
  <c r="AM34" i="19"/>
  <c r="O24" i="19"/>
  <c r="AA14" i="19"/>
  <c r="AD33" i="19"/>
  <c r="X33" i="19"/>
  <c r="X53" i="19"/>
  <c r="AD23" i="19"/>
  <c r="AJ43" i="19"/>
  <c r="AD43" i="19"/>
  <c r="AJ53" i="19"/>
  <c r="R13" i="19"/>
  <c r="AD53" i="19"/>
  <c r="L53" i="19"/>
  <c r="R33" i="19"/>
  <c r="X23" i="19"/>
  <c r="AD13" i="19"/>
  <c r="R43" i="19"/>
  <c r="AJ13" i="19"/>
  <c r="L43" i="19"/>
  <c r="X13" i="19"/>
  <c r="AJ33" i="19"/>
  <c r="L13" i="19"/>
  <c r="L33" i="19"/>
  <c r="L23" i="19"/>
  <c r="R23" i="19"/>
  <c r="R53" i="19"/>
  <c r="X43" i="19"/>
  <c r="AJ23" i="19"/>
  <c r="AK24" i="19"/>
  <c r="Y44" i="19"/>
  <c r="AK54" i="19"/>
  <c r="Y54" i="19"/>
  <c r="AK14" i="19"/>
  <c r="AE44" i="19"/>
  <c r="AK44" i="19"/>
  <c r="AE54" i="19"/>
  <c r="AE34" i="19"/>
  <c r="AE24" i="19"/>
  <c r="S14" i="19"/>
  <c r="AE14" i="19"/>
  <c r="M24" i="19"/>
  <c r="S54" i="19"/>
  <c r="Y14" i="19"/>
  <c r="S24" i="19"/>
  <c r="Y34" i="19"/>
  <c r="M54" i="19"/>
  <c r="S34" i="19"/>
  <c r="M44" i="19"/>
  <c r="Y24" i="19"/>
  <c r="M34" i="19"/>
  <c r="AK34" i="19"/>
  <c r="S44" i="19"/>
  <c r="M14" i="19"/>
  <c r="M37" i="19"/>
  <c r="S47" i="19"/>
  <c r="Y37" i="19"/>
  <c r="S17" i="19"/>
  <c r="S7" i="19"/>
  <c r="AE17" i="19"/>
  <c r="AK7" i="19"/>
  <c r="M17" i="19"/>
  <c r="Y17" i="19"/>
  <c r="AE37" i="19"/>
  <c r="Y7" i="19"/>
  <c r="AE47" i="19"/>
  <c r="AK47" i="19"/>
  <c r="Y27" i="19"/>
  <c r="AK27" i="19"/>
  <c r="M27" i="19"/>
  <c r="M47" i="19"/>
  <c r="M7" i="19"/>
  <c r="AE27" i="19"/>
  <c r="S37" i="19"/>
  <c r="Y47" i="19"/>
  <c r="S27" i="19"/>
  <c r="AK17" i="19"/>
  <c r="AK37" i="19"/>
  <c r="AE7" i="19"/>
  <c r="B221" i="13"/>
  <c r="H210" i="13"/>
  <c r="M32" i="1"/>
  <c r="N32" i="1" s="1"/>
  <c r="M42" i="1"/>
  <c r="N42" i="1" s="1"/>
  <c r="O42" i="1" s="1"/>
  <c r="M9" i="1"/>
  <c r="N9" i="1" s="1"/>
  <c r="B222" i="13"/>
  <c r="B223" i="13"/>
  <c r="K14" i="1"/>
  <c r="M15" i="1"/>
  <c r="N15" i="1" s="1"/>
  <c r="O15" i="1" s="1"/>
  <c r="P10" i="1"/>
  <c r="O10" i="1"/>
  <c r="P16" i="1" l="1"/>
  <c r="O16" i="1"/>
  <c r="AD21" i="1"/>
  <c r="AC21" i="1" s="1"/>
  <c r="T8" i="18"/>
  <c r="P18" i="1"/>
  <c r="P43" i="1"/>
  <c r="Z21" i="1"/>
  <c r="AB21" i="1" s="1"/>
  <c r="AD15" i="1"/>
  <c r="AC15" i="1" s="1"/>
  <c r="P20" i="1"/>
  <c r="Z46" i="1"/>
  <c r="AA46" i="1" s="1"/>
  <c r="P38" i="1"/>
  <c r="AD56" i="1"/>
  <c r="AC56" i="1" s="1"/>
  <c r="P13" i="1"/>
  <c r="AD14" i="1"/>
  <c r="AC14" i="1" s="1"/>
  <c r="P55" i="1"/>
  <c r="AD53" i="1"/>
  <c r="AC53" i="1" s="1"/>
  <c r="AD43" i="1"/>
  <c r="AC43" i="1" s="1"/>
  <c r="P36" i="1"/>
  <c r="AD40" i="1"/>
  <c r="AC40" i="1" s="1"/>
  <c r="AD25" i="1"/>
  <c r="AC25" i="1" s="1"/>
  <c r="Z15" i="1"/>
  <c r="AB15" i="1" s="1"/>
  <c r="Z16" i="1" s="1"/>
  <c r="AD11" i="1"/>
  <c r="AC11" i="1" s="1"/>
  <c r="AD27" i="1"/>
  <c r="AC27" i="1" s="1"/>
  <c r="AD17" i="1"/>
  <c r="AC17" i="1" s="1"/>
  <c r="P31" i="1"/>
  <c r="Z44" i="1"/>
  <c r="AB44" i="1" s="1"/>
  <c r="AD46" i="1"/>
  <c r="AC46" i="1" s="1"/>
  <c r="O13" i="1"/>
  <c r="AD13" i="1" s="1"/>
  <c r="AC13" i="1" s="1"/>
  <c r="AD42" i="1"/>
  <c r="AC42" i="1" s="1"/>
  <c r="R38" i="18"/>
  <c r="AD50" i="1"/>
  <c r="AC50" i="1" s="1"/>
  <c r="AD39" i="1"/>
  <c r="AC39" i="1" s="1"/>
  <c r="P11" i="1"/>
  <c r="P54" i="1"/>
  <c r="P44" i="1"/>
  <c r="O38" i="1"/>
  <c r="AD38" i="1" s="1"/>
  <c r="AC38" i="1" s="1"/>
  <c r="AD31" i="1"/>
  <c r="AC31" i="1" s="1"/>
  <c r="P19" i="1"/>
  <c r="T32" i="18"/>
  <c r="P25" i="1"/>
  <c r="Z51" i="1"/>
  <c r="AB51" i="1" s="1"/>
  <c r="O29" i="1"/>
  <c r="AD29" i="1" s="1"/>
  <c r="AC29" i="1" s="1"/>
  <c r="P29" i="1"/>
  <c r="O45" i="1"/>
  <c r="AD45" i="1" s="1"/>
  <c r="AC45" i="1" s="1"/>
  <c r="P45" i="1"/>
  <c r="Z27" i="1"/>
  <c r="AB27" i="1" s="1"/>
  <c r="Z28" i="1" s="1"/>
  <c r="AD44" i="1"/>
  <c r="AC44" i="1" s="1"/>
  <c r="P28" i="1"/>
  <c r="AL18" i="18"/>
  <c r="Z48" i="1"/>
  <c r="AB48" i="1" s="1"/>
  <c r="Z26" i="18"/>
  <c r="AD54" i="1"/>
  <c r="AC54" i="1" s="1"/>
  <c r="AD36" i="1"/>
  <c r="AC36" i="1" s="1"/>
  <c r="AE36" i="1" s="1"/>
  <c r="P53" i="1"/>
  <c r="O55" i="1"/>
  <c r="AD55" i="1" s="1"/>
  <c r="AC55" i="1" s="1"/>
  <c r="Z54" i="1"/>
  <c r="AB54" i="1" s="1"/>
  <c r="Z41" i="1"/>
  <c r="AB41" i="1" s="1"/>
  <c r="AA44" i="1"/>
  <c r="T16" i="18"/>
  <c r="AF40" i="18"/>
  <c r="Z24" i="1"/>
  <c r="AA24" i="1" s="1"/>
  <c r="AD14" i="18"/>
  <c r="AD16" i="1"/>
  <c r="AC16" i="1" s="1"/>
  <c r="AB18" i="1"/>
  <c r="Z19" i="1" s="1"/>
  <c r="AA19" i="1" s="1"/>
  <c r="N34" i="18"/>
  <c r="Z49" i="1"/>
  <c r="AA49" i="1" s="1"/>
  <c r="AE49" i="1" s="1"/>
  <c r="Z23" i="1"/>
  <c r="AB23" i="1" s="1"/>
  <c r="AJ14" i="18"/>
  <c r="P40" i="1"/>
  <c r="L38" i="18"/>
  <c r="Z59" i="1"/>
  <c r="AB59" i="1" s="1"/>
  <c r="AF18" i="18"/>
  <c r="Z36" i="1"/>
  <c r="AB36" i="1" s="1"/>
  <c r="AF16" i="18"/>
  <c r="K19" i="1"/>
  <c r="AD51" i="1"/>
  <c r="AC51" i="1" s="1"/>
  <c r="L22" i="18"/>
  <c r="P17" i="1"/>
  <c r="AL16" i="18"/>
  <c r="Z55" i="1"/>
  <c r="AA55" i="1" s="1"/>
  <c r="P42" i="1"/>
  <c r="AD6" i="18"/>
  <c r="T40" i="18"/>
  <c r="P21" i="1"/>
  <c r="Z10" i="18"/>
  <c r="AF42" i="18"/>
  <c r="Z32" i="18"/>
  <c r="P51" i="1"/>
  <c r="P35" i="1"/>
  <c r="N10" i="18"/>
  <c r="K40" i="1"/>
  <c r="Z40" i="1" s="1"/>
  <c r="P15" i="1"/>
  <c r="AD30" i="18"/>
  <c r="Z34" i="1"/>
  <c r="AB34" i="1" s="1"/>
  <c r="AJ22" i="18"/>
  <c r="P26" i="1"/>
  <c r="T42" i="18"/>
  <c r="P14" i="1"/>
  <c r="P50" i="1"/>
  <c r="L6" i="18"/>
  <c r="AD37" i="1"/>
  <c r="AC37" i="1" s="1"/>
  <c r="AD35" i="1"/>
  <c r="AC35" i="1" s="1"/>
  <c r="Z32" i="1"/>
  <c r="AB32" i="1" s="1"/>
  <c r="AD30" i="1"/>
  <c r="AC30" i="1" s="1"/>
  <c r="AL8" i="18"/>
  <c r="T24" i="18"/>
  <c r="AF8" i="18"/>
  <c r="AD22" i="18"/>
  <c r="Z18" i="18"/>
  <c r="AL40" i="18"/>
  <c r="R14" i="18"/>
  <c r="X14" i="18"/>
  <c r="R30" i="18"/>
  <c r="X22" i="18"/>
  <c r="P34" i="1"/>
  <c r="X30" i="18"/>
  <c r="R22" i="18"/>
  <c r="AJ38" i="18"/>
  <c r="Z58" i="1"/>
  <c r="Z37" i="1"/>
  <c r="AH30" i="18"/>
  <c r="V6" i="18"/>
  <c r="AH22" i="18"/>
  <c r="J30" i="18"/>
  <c r="V22" i="18"/>
  <c r="AH14" i="18"/>
  <c r="AH38" i="18"/>
  <c r="AB22" i="18"/>
  <c r="AB30" i="18"/>
  <c r="O12" i="1"/>
  <c r="AD12" i="1" s="1"/>
  <c r="AC12" i="1" s="1"/>
  <c r="P12" i="1"/>
  <c r="Z56" i="1"/>
  <c r="AL34" i="18"/>
  <c r="Z38" i="1"/>
  <c r="AL32" i="18"/>
  <c r="Z42" i="18"/>
  <c r="AF34" i="18"/>
  <c r="N8" i="18"/>
  <c r="AF26" i="18"/>
  <c r="AL10" i="18"/>
  <c r="P27" i="1"/>
  <c r="K47" i="1"/>
  <c r="Z47" i="1" s="1"/>
  <c r="AD20" i="1"/>
  <c r="AC20" i="1" s="1"/>
  <c r="O28" i="19" s="1"/>
  <c r="Z16" i="18"/>
  <c r="N18" i="18"/>
  <c r="Z57" i="1"/>
  <c r="AB57" i="1" s="1"/>
  <c r="Z40" i="18"/>
  <c r="O28" i="1"/>
  <c r="AD28" i="1" s="1"/>
  <c r="AC28" i="1" s="1"/>
  <c r="Z24" i="18"/>
  <c r="AD19" i="1"/>
  <c r="AC19" i="1" s="1"/>
  <c r="Z50" i="1"/>
  <c r="AB50" i="1" s="1"/>
  <c r="Z43" i="1"/>
  <c r="AD41" i="1"/>
  <c r="AC41" i="1" s="1"/>
  <c r="AD34" i="1"/>
  <c r="AC34" i="1" s="1"/>
  <c r="AD26" i="1"/>
  <c r="AC26" i="1" s="1"/>
  <c r="O32" i="1"/>
  <c r="AD32" i="1" s="1"/>
  <c r="AC32" i="1" s="1"/>
  <c r="N24" i="18"/>
  <c r="P46" i="1"/>
  <c r="N42" i="18"/>
  <c r="P37" i="1"/>
  <c r="AL24" i="18"/>
  <c r="T10" i="18"/>
  <c r="P30" i="1"/>
  <c r="Z60" i="1"/>
  <c r="AB60" i="1" s="1"/>
  <c r="Z45" i="1"/>
  <c r="Z39" i="1"/>
  <c r="T18" i="18"/>
  <c r="AA41" i="1"/>
  <c r="N32" i="18"/>
  <c r="P32" i="1"/>
  <c r="Z8" i="18"/>
  <c r="P39" i="1"/>
  <c r="J22" i="18"/>
  <c r="P30" i="18"/>
  <c r="AD58" i="1"/>
  <c r="AC58" i="1" s="1"/>
  <c r="Z35" i="1"/>
  <c r="J6" i="18"/>
  <c r="V38" i="18"/>
  <c r="Z53" i="1"/>
  <c r="K42" i="1"/>
  <c r="Z42" i="1" s="1"/>
  <c r="T34" i="18"/>
  <c r="AF10" i="18"/>
  <c r="Z34" i="18"/>
  <c r="N26" i="18"/>
  <c r="AL26" i="18"/>
  <c r="AL42" i="18"/>
  <c r="AB14" i="18"/>
  <c r="O9" i="1"/>
  <c r="AD9" i="1" s="1"/>
  <c r="AC9" i="1" s="1"/>
  <c r="AH6" i="18"/>
  <c r="P14" i="18"/>
  <c r="P6" i="18"/>
  <c r="AB6" i="18"/>
  <c r="J38" i="18"/>
  <c r="J14" i="18"/>
  <c r="P9" i="1"/>
  <c r="P22" i="18"/>
  <c r="V30" i="18"/>
  <c r="AB38" i="18"/>
  <c r="P38" i="18"/>
  <c r="V14" i="18"/>
  <c r="T26" i="18"/>
  <c r="AJ30" i="18"/>
  <c r="R6" i="18"/>
  <c r="X38" i="18"/>
  <c r="L30" i="18"/>
  <c r="X6" i="18"/>
  <c r="AJ6" i="18"/>
  <c r="L14" i="18"/>
  <c r="AD38" i="18"/>
  <c r="N16" i="18"/>
  <c r="AF24" i="18"/>
  <c r="N40" i="18"/>
  <c r="AF32" i="18"/>
  <c r="AD18" i="1"/>
  <c r="AC18" i="1" s="1"/>
  <c r="AF27" i="19" s="1"/>
  <c r="P41" i="1"/>
  <c r="Z9" i="1"/>
  <c r="AD10" i="1"/>
  <c r="AC10" i="1" s="1"/>
  <c r="AA21" i="1" l="1"/>
  <c r="AE21" i="1" s="1"/>
  <c r="AA51" i="1"/>
  <c r="AE51" i="1" s="1"/>
  <c r="AE44" i="1"/>
  <c r="K25" i="19"/>
  <c r="AA59" i="1"/>
  <c r="AE59" i="1" s="1"/>
  <c r="Q55" i="19"/>
  <c r="AE46" i="1"/>
  <c r="K55" i="19"/>
  <c r="AB55" i="1"/>
  <c r="K45" i="19"/>
  <c r="AC15" i="19"/>
  <c r="W35" i="19"/>
  <c r="AI35" i="19"/>
  <c r="AC45" i="19"/>
  <c r="Q15" i="19"/>
  <c r="AB46" i="1"/>
  <c r="AI45" i="19"/>
  <c r="W45" i="19"/>
  <c r="Q25" i="19"/>
  <c r="AA48" i="1"/>
  <c r="AE48" i="1" s="1"/>
  <c r="Q35" i="19"/>
  <c r="AA23" i="1"/>
  <c r="AE23" i="1" s="1"/>
  <c r="W55" i="19"/>
  <c r="K35" i="19"/>
  <c r="W15" i="19"/>
  <c r="AI55" i="19"/>
  <c r="AI25" i="19"/>
  <c r="W25" i="19"/>
  <c r="K15" i="19"/>
  <c r="AC35" i="19"/>
  <c r="AC55" i="19"/>
  <c r="AA15" i="1"/>
  <c r="P7" i="19" s="1"/>
  <c r="AA27" i="1"/>
  <c r="X40" i="19" s="1"/>
  <c r="Q45" i="19"/>
  <c r="AC25" i="19"/>
  <c r="AI15" i="19"/>
  <c r="AM8" i="19"/>
  <c r="AA54" i="1"/>
  <c r="AE54" i="1" s="1"/>
  <c r="U38" i="19"/>
  <c r="AA28" i="19"/>
  <c r="AG8" i="19"/>
  <c r="AB49" i="1"/>
  <c r="AA18" i="19"/>
  <c r="O8" i="19"/>
  <c r="AK43" i="19"/>
  <c r="U48" i="19"/>
  <c r="O48" i="19"/>
  <c r="AA50" i="1"/>
  <c r="AE50" i="1" s="1"/>
  <c r="AB19" i="1"/>
  <c r="Z20" i="1" s="1"/>
  <c r="AB20" i="1" s="1"/>
  <c r="AA32" i="1"/>
  <c r="AH41" i="19" s="1"/>
  <c r="AK23" i="19"/>
  <c r="S53" i="19"/>
  <c r="AE43" i="19"/>
  <c r="T8" i="19"/>
  <c r="AB28" i="1"/>
  <c r="Z29" i="1" s="1"/>
  <c r="AA28" i="1"/>
  <c r="AK20" i="19" s="1"/>
  <c r="AA60" i="1"/>
  <c r="AE60" i="1" s="1"/>
  <c r="AA38" i="19"/>
  <c r="AE55" i="1"/>
  <c r="Y29" i="19"/>
  <c r="AK49" i="19"/>
  <c r="AK19" i="19"/>
  <c r="M49" i="19"/>
  <c r="Y49" i="19"/>
  <c r="S19" i="19"/>
  <c r="AK39" i="19"/>
  <c r="AK9" i="19"/>
  <c r="AE29" i="19"/>
  <c r="Y39" i="19"/>
  <c r="M29" i="19"/>
  <c r="M19" i="19"/>
  <c r="M39" i="19"/>
  <c r="AA34" i="1"/>
  <c r="AF11" i="19" s="1"/>
  <c r="AB24" i="1"/>
  <c r="Z25" i="1" s="1"/>
  <c r="AA25" i="1" s="1"/>
  <c r="Z8" i="19"/>
  <c r="AA57" i="1"/>
  <c r="AE57" i="1" s="1"/>
  <c r="AK13" i="19"/>
  <c r="T28" i="19"/>
  <c r="AB37" i="1"/>
  <c r="AA37" i="1"/>
  <c r="AE37" i="1" s="1"/>
  <c r="AB58" i="1"/>
  <c r="AA58" i="1"/>
  <c r="AE58" i="1" s="1"/>
  <c r="AB16" i="1"/>
  <c r="Z17" i="1" s="1"/>
  <c r="AA16" i="1"/>
  <c r="AE41" i="1"/>
  <c r="AE33" i="19"/>
  <c r="M53" i="19"/>
  <c r="AL18" i="19"/>
  <c r="N28" i="19"/>
  <c r="AA56" i="1"/>
  <c r="AE56" i="1" s="1"/>
  <c r="AB56" i="1"/>
  <c r="AL8" i="19"/>
  <c r="N18" i="19"/>
  <c r="AF18" i="19"/>
  <c r="T48" i="19"/>
  <c r="AL38" i="19"/>
  <c r="N48" i="19"/>
  <c r="AE19" i="1"/>
  <c r="Z48" i="19"/>
  <c r="AL48" i="19"/>
  <c r="T38" i="19"/>
  <c r="AF48" i="19"/>
  <c r="AL28" i="19"/>
  <c r="AA8" i="19"/>
  <c r="AG28" i="19"/>
  <c r="AM48" i="19"/>
  <c r="AG48" i="19"/>
  <c r="AM28" i="19"/>
  <c r="AG38" i="19"/>
  <c r="AG18" i="19"/>
  <c r="U18" i="19"/>
  <c r="AE20" i="1"/>
  <c r="U28" i="19"/>
  <c r="U8" i="19"/>
  <c r="AM18" i="19"/>
  <c r="AM38" i="19"/>
  <c r="S43" i="19"/>
  <c r="S13" i="19"/>
  <c r="Y43" i="19"/>
  <c r="AE23" i="19"/>
  <c r="M43" i="19"/>
  <c r="Y33" i="19"/>
  <c r="M23" i="19"/>
  <c r="M13" i="19"/>
  <c r="AK53" i="19"/>
  <c r="AE13" i="19"/>
  <c r="Y53" i="19"/>
  <c r="Y23" i="19"/>
  <c r="AB47" i="1"/>
  <c r="AA47" i="1"/>
  <c r="AE47" i="1" s="1"/>
  <c r="AA38" i="1"/>
  <c r="AE38" i="1" s="1"/>
  <c r="AB38" i="1"/>
  <c r="S23" i="19"/>
  <c r="AE53" i="19"/>
  <c r="Y13" i="19"/>
  <c r="AA45" i="1"/>
  <c r="AB45" i="1"/>
  <c r="AB39" i="1"/>
  <c r="AA39" i="1"/>
  <c r="O38" i="19"/>
  <c r="AF37" i="19"/>
  <c r="N8" i="19"/>
  <c r="O18" i="19"/>
  <c r="AA48" i="19"/>
  <c r="S33" i="19"/>
  <c r="AF38" i="19"/>
  <c r="AF8" i="19"/>
  <c r="T18" i="19"/>
  <c r="AF28" i="19"/>
  <c r="Z38" i="19"/>
  <c r="S39" i="19"/>
  <c r="S9" i="19"/>
  <c r="S29" i="19"/>
  <c r="AE9" i="19"/>
  <c r="AE49" i="19"/>
  <c r="AE39" i="19"/>
  <c r="Y9" i="19"/>
  <c r="S49" i="19"/>
  <c r="AE19" i="19"/>
  <c r="Y19" i="19"/>
  <c r="AK29" i="19"/>
  <c r="AE24" i="1"/>
  <c r="M9" i="19"/>
  <c r="AK33" i="19"/>
  <c r="M33" i="19"/>
  <c r="N38" i="19"/>
  <c r="Z18" i="19"/>
  <c r="AA43" i="1"/>
  <c r="AB43" i="1"/>
  <c r="Z28" i="19"/>
  <c r="AB35" i="1"/>
  <c r="AA35" i="1"/>
  <c r="AE35" i="1" s="1"/>
  <c r="AB42" i="1"/>
  <c r="AA42" i="1"/>
  <c r="AA53" i="1"/>
  <c r="AE53" i="1" s="1"/>
  <c r="AB53" i="1"/>
  <c r="AA40" i="1"/>
  <c r="AB40" i="1"/>
  <c r="AA9" i="1"/>
  <c r="AB9" i="1"/>
  <c r="Z10" i="1" s="1"/>
  <c r="T37" i="19"/>
  <c r="AL7" i="19"/>
  <c r="Z47" i="19"/>
  <c r="AL27" i="19"/>
  <c r="T47" i="19"/>
  <c r="N27" i="19"/>
  <c r="AL17" i="19"/>
  <c r="N37" i="19"/>
  <c r="AL47" i="19"/>
  <c r="T27" i="19"/>
  <c r="Z27" i="19"/>
  <c r="T17" i="19"/>
  <c r="N17" i="19"/>
  <c r="Z17" i="19"/>
  <c r="Z37" i="19"/>
  <c r="T7" i="19"/>
  <c r="AF17" i="19"/>
  <c r="AF47" i="19"/>
  <c r="N47" i="19"/>
  <c r="N7" i="19"/>
  <c r="AE18" i="1"/>
  <c r="Z7" i="19"/>
  <c r="AF7" i="19"/>
  <c r="AL37" i="19"/>
  <c r="AJ29" i="19" l="1"/>
  <c r="R40" i="19"/>
  <c r="R20" i="19"/>
  <c r="AJ20" i="19"/>
  <c r="AD50" i="19"/>
  <c r="AD20" i="19"/>
  <c r="X20" i="19"/>
  <c r="AJ10" i="19"/>
  <c r="R10" i="19"/>
  <c r="L10" i="19"/>
  <c r="AJ50" i="19"/>
  <c r="X50" i="19"/>
  <c r="AJ40" i="19"/>
  <c r="R30" i="19"/>
  <c r="R50" i="19"/>
  <c r="L50" i="19"/>
  <c r="AD40" i="19"/>
  <c r="L30" i="19"/>
  <c r="X10" i="19"/>
  <c r="L20" i="19"/>
  <c r="AJ30" i="19"/>
  <c r="R49" i="19"/>
  <c r="L29" i="19"/>
  <c r="X9" i="19"/>
  <c r="AD29" i="19"/>
  <c r="X29" i="19"/>
  <c r="AJ39" i="19"/>
  <c r="R39" i="19"/>
  <c r="R9" i="19"/>
  <c r="AJ19" i="19"/>
  <c r="R19" i="19"/>
  <c r="L19" i="19"/>
  <c r="X39" i="19"/>
  <c r="L9" i="19"/>
  <c r="AD19" i="19"/>
  <c r="AB47" i="19"/>
  <c r="AH27" i="19"/>
  <c r="AH37" i="19"/>
  <c r="L49" i="19"/>
  <c r="AD9" i="19"/>
  <c r="L39" i="19"/>
  <c r="AJ49" i="19"/>
  <c r="R29" i="19"/>
  <c r="X19" i="19"/>
  <c r="AD49" i="19"/>
  <c r="X49" i="19"/>
  <c r="AD39" i="19"/>
  <c r="AJ9" i="19"/>
  <c r="N41" i="19"/>
  <c r="AB17" i="19"/>
  <c r="L40" i="19"/>
  <c r="AD30" i="19"/>
  <c r="AE27" i="1"/>
  <c r="T51" i="19"/>
  <c r="J27" i="19"/>
  <c r="P37" i="19"/>
  <c r="X30" i="19"/>
  <c r="AD10" i="19"/>
  <c r="P47" i="19"/>
  <c r="Z31" i="19"/>
  <c r="J21" i="19"/>
  <c r="AB11" i="19"/>
  <c r="P31" i="19"/>
  <c r="AE10" i="19"/>
  <c r="P41" i="19"/>
  <c r="V21" i="19"/>
  <c r="AE32" i="1"/>
  <c r="AH31" i="19"/>
  <c r="AB51" i="19"/>
  <c r="V51" i="19"/>
  <c r="AB31" i="19"/>
  <c r="V31" i="19"/>
  <c r="P11" i="19"/>
  <c r="J11" i="19"/>
  <c r="J31" i="19"/>
  <c r="AB21" i="19"/>
  <c r="V11" i="19"/>
  <c r="V41" i="19"/>
  <c r="T11" i="19"/>
  <c r="N21" i="19"/>
  <c r="AL31" i="19"/>
  <c r="AL11" i="19"/>
  <c r="N31" i="19"/>
  <c r="AL41" i="19"/>
  <c r="M40" i="19"/>
  <c r="AE30" i="19"/>
  <c r="M20" i="19"/>
  <c r="M10" i="19"/>
  <c r="Y30" i="19"/>
  <c r="AK30" i="19"/>
  <c r="AE28" i="1"/>
  <c r="AK10" i="19"/>
  <c r="S10" i="19"/>
  <c r="Y20" i="19"/>
  <c r="AE20" i="19"/>
  <c r="AH11" i="19"/>
  <c r="AB41" i="19"/>
  <c r="AH51" i="19"/>
  <c r="AH21" i="19"/>
  <c r="J51" i="19"/>
  <c r="P21" i="19"/>
  <c r="J41" i="19"/>
  <c r="P51" i="19"/>
  <c r="S30" i="19"/>
  <c r="Y10" i="19"/>
  <c r="S20" i="19"/>
  <c r="M50" i="19"/>
  <c r="S50" i="19"/>
  <c r="Y50" i="19"/>
  <c r="AE50" i="19"/>
  <c r="V37" i="19"/>
  <c r="V27" i="19"/>
  <c r="AH47" i="19"/>
  <c r="AB27" i="19"/>
  <c r="J7" i="19"/>
  <c r="AH17" i="19"/>
  <c r="AB7" i="19"/>
  <c r="AE15" i="1"/>
  <c r="V47" i="19"/>
  <c r="P27" i="19"/>
  <c r="V17" i="19"/>
  <c r="V7" i="19"/>
  <c r="J17" i="19"/>
  <c r="AH7" i="19"/>
  <c r="J37" i="19"/>
  <c r="AB37" i="19"/>
  <c r="J47" i="19"/>
  <c r="P17" i="19"/>
  <c r="AF31" i="19"/>
  <c r="AF41" i="19"/>
  <c r="S40" i="19"/>
  <c r="Y40" i="19"/>
  <c r="M30" i="19"/>
  <c r="AK40" i="19"/>
  <c r="AK50" i="19"/>
  <c r="AE40" i="19"/>
  <c r="AA29" i="1"/>
  <c r="AB29" i="1"/>
  <c r="Z30" i="1" s="1"/>
  <c r="AB25" i="1"/>
  <c r="Z26" i="1" s="1"/>
  <c r="AA26" i="1" s="1"/>
  <c r="Q10" i="19" s="1"/>
  <c r="AL51" i="19"/>
  <c r="T31" i="19"/>
  <c r="Z21" i="19"/>
  <c r="AF21" i="19"/>
  <c r="Z41" i="19"/>
  <c r="Z11" i="19"/>
  <c r="AL21" i="19"/>
  <c r="AB17" i="1"/>
  <c r="AA17" i="1"/>
  <c r="N51" i="19"/>
  <c r="T41" i="19"/>
  <c r="AE34" i="1"/>
  <c r="AF51" i="19"/>
  <c r="T21" i="19"/>
  <c r="N11" i="19"/>
  <c r="Z51" i="19"/>
  <c r="AE16" i="1"/>
  <c r="W27" i="19"/>
  <c r="Q17" i="19"/>
  <c r="K47" i="19"/>
  <c r="Q27" i="19"/>
  <c r="AI37" i="19"/>
  <c r="AC47" i="19"/>
  <c r="Q7" i="19"/>
  <c r="K7" i="19"/>
  <c r="AI7" i="19"/>
  <c r="Q37" i="19"/>
  <c r="Q47" i="19"/>
  <c r="AC37" i="19"/>
  <c r="AC7" i="19"/>
  <c r="W47" i="19"/>
  <c r="AC17" i="19"/>
  <c r="W37" i="19"/>
  <c r="W7" i="19"/>
  <c r="K37" i="19"/>
  <c r="K27" i="19"/>
  <c r="K17" i="19"/>
  <c r="AI27" i="19"/>
  <c r="W17" i="19"/>
  <c r="AI17" i="19"/>
  <c r="AC27" i="19"/>
  <c r="AI47" i="19"/>
  <c r="AF44" i="19"/>
  <c r="Z24" i="19"/>
  <c r="AF24" i="19"/>
  <c r="Z44" i="19"/>
  <c r="AL24" i="19"/>
  <c r="N44" i="19"/>
  <c r="T34" i="19"/>
  <c r="AF54" i="19"/>
  <c r="AL34" i="19"/>
  <c r="T24" i="19"/>
  <c r="Z14" i="19"/>
  <c r="N54" i="19"/>
  <c r="T54" i="19"/>
  <c r="N24" i="19"/>
  <c r="T44" i="19"/>
  <c r="AF14" i="19"/>
  <c r="AL14" i="19"/>
  <c r="AF34" i="19"/>
  <c r="T14" i="19"/>
  <c r="AL54" i="19"/>
  <c r="AL44" i="19"/>
  <c r="Z54" i="19"/>
  <c r="AE45" i="1"/>
  <c r="N34" i="19"/>
  <c r="N14" i="19"/>
  <c r="Z34" i="19"/>
  <c r="O39" i="19"/>
  <c r="O19" i="19"/>
  <c r="U39" i="19"/>
  <c r="AA39" i="19"/>
  <c r="O29" i="19"/>
  <c r="AM9" i="19"/>
  <c r="AA9" i="19"/>
  <c r="AG49" i="19"/>
  <c r="U29" i="19"/>
  <c r="AM49" i="19"/>
  <c r="U49" i="19"/>
  <c r="O9" i="19"/>
  <c r="AM29" i="19"/>
  <c r="AA49" i="19"/>
  <c r="AG29" i="19"/>
  <c r="U19" i="19"/>
  <c r="O49" i="19"/>
  <c r="AG9" i="19"/>
  <c r="AA19" i="19"/>
  <c r="AG19" i="19"/>
  <c r="AA29" i="19"/>
  <c r="AM39" i="19"/>
  <c r="AG39" i="19"/>
  <c r="AE25" i="1"/>
  <c r="AM19" i="19"/>
  <c r="U9" i="19"/>
  <c r="AI12" i="19"/>
  <c r="W42" i="19"/>
  <c r="W32" i="19"/>
  <c r="AE39" i="1"/>
  <c r="AI22" i="19"/>
  <c r="W12" i="19"/>
  <c r="AC12" i="19"/>
  <c r="AC22" i="19"/>
  <c r="Q42" i="19"/>
  <c r="K52" i="19"/>
  <c r="Q12" i="19"/>
  <c r="Q32" i="19"/>
  <c r="AC32" i="19"/>
  <c r="AI32" i="19"/>
  <c r="AI42" i="19"/>
  <c r="W22" i="19"/>
  <c r="Q52" i="19"/>
  <c r="Q22" i="19"/>
  <c r="AC42" i="19"/>
  <c r="AI52" i="19"/>
  <c r="W52" i="19"/>
  <c r="K32" i="19"/>
  <c r="K22" i="19"/>
  <c r="K42" i="19"/>
  <c r="K12" i="19"/>
  <c r="AC52" i="19"/>
  <c r="K44" i="19"/>
  <c r="W54" i="19"/>
  <c r="W44" i="19"/>
  <c r="K54" i="19"/>
  <c r="AI44" i="19"/>
  <c r="AI24" i="19"/>
  <c r="AC54" i="19"/>
  <c r="Q44" i="19"/>
  <c r="Q34" i="19"/>
  <c r="K34" i="19"/>
  <c r="K14" i="19"/>
  <c r="W24" i="19"/>
  <c r="AC24" i="19"/>
  <c r="Q54" i="19"/>
  <c r="W14" i="19"/>
  <c r="AC44" i="19"/>
  <c r="Q14" i="19"/>
  <c r="W34" i="19"/>
  <c r="AC34" i="19"/>
  <c r="K24" i="19"/>
  <c r="AI14" i="19"/>
  <c r="AI54" i="19"/>
  <c r="AI34" i="19"/>
  <c r="AC14" i="19"/>
  <c r="Q24" i="19"/>
  <c r="AE43" i="1"/>
  <c r="AJ42" i="19"/>
  <c r="AJ32" i="19"/>
  <c r="AJ12" i="19"/>
  <c r="L42" i="19"/>
  <c r="AE40" i="1"/>
  <c r="R52" i="19"/>
  <c r="X32" i="19"/>
  <c r="X52" i="19"/>
  <c r="R42" i="19"/>
  <c r="X42" i="19"/>
  <c r="R12" i="19"/>
  <c r="AD22" i="19"/>
  <c r="AD12" i="19"/>
  <c r="AD32" i="19"/>
  <c r="R32" i="19"/>
  <c r="X22" i="19"/>
  <c r="AD52" i="19"/>
  <c r="AD42" i="19"/>
  <c r="AJ22" i="19"/>
  <c r="AJ52" i="19"/>
  <c r="L22" i="19"/>
  <c r="X12" i="19"/>
  <c r="L52" i="19"/>
  <c r="R22" i="19"/>
  <c r="L32" i="19"/>
  <c r="L12" i="19"/>
  <c r="J34" i="19"/>
  <c r="P44" i="19"/>
  <c r="AE42" i="1"/>
  <c r="AB54" i="19"/>
  <c r="AH54" i="19"/>
  <c r="AH34" i="19"/>
  <c r="AH14" i="19"/>
  <c r="V34" i="19"/>
  <c r="P34" i="19"/>
  <c r="AB44" i="19"/>
  <c r="AB14" i="19"/>
  <c r="P14" i="19"/>
  <c r="V54" i="19"/>
  <c r="V44" i="19"/>
  <c r="AH44" i="19"/>
  <c r="AB34" i="19"/>
  <c r="J54" i="19"/>
  <c r="J44" i="19"/>
  <c r="V14" i="19"/>
  <c r="J14" i="19"/>
  <c r="AH24" i="19"/>
  <c r="P24" i="19"/>
  <c r="P54" i="19"/>
  <c r="J24" i="19"/>
  <c r="AB24" i="19"/>
  <c r="V24" i="19"/>
  <c r="AA10" i="1"/>
  <c r="AB10" i="1"/>
  <c r="Z11" i="1" s="1"/>
  <c r="AB26" i="19"/>
  <c r="AE9" i="1"/>
  <c r="P46" i="19"/>
  <c r="AH6" i="19"/>
  <c r="P36" i="19"/>
  <c r="AB6" i="19"/>
  <c r="AH16" i="19"/>
  <c r="V36" i="19"/>
  <c r="P6" i="19"/>
  <c r="P26" i="19"/>
  <c r="J46" i="19"/>
  <c r="J26" i="19"/>
  <c r="AH36" i="19"/>
  <c r="AB46" i="19"/>
  <c r="AH26" i="19"/>
  <c r="V26" i="19"/>
  <c r="AH46" i="19"/>
  <c r="J36" i="19"/>
  <c r="AB36" i="19"/>
  <c r="J6" i="19"/>
  <c r="V16" i="19"/>
  <c r="V46" i="19"/>
  <c r="AB16" i="19"/>
  <c r="J16" i="19"/>
  <c r="V6" i="19"/>
  <c r="P16" i="19"/>
  <c r="AI50" i="19" l="1"/>
  <c r="K40" i="19"/>
  <c r="W50" i="19"/>
  <c r="AI20" i="19"/>
  <c r="AE26" i="1"/>
  <c r="Q30" i="19"/>
  <c r="AI10" i="19"/>
  <c r="K30" i="19"/>
  <c r="AC10" i="19"/>
  <c r="W30" i="19"/>
  <c r="AC20" i="19"/>
  <c r="Q50" i="19"/>
  <c r="AI40" i="19"/>
  <c r="W40" i="19"/>
  <c r="AI30" i="19"/>
  <c r="W10" i="19"/>
  <c r="AC50" i="19"/>
  <c r="K50" i="19"/>
  <c r="K10" i="19"/>
  <c r="AC40" i="19"/>
  <c r="AA30" i="1"/>
  <c r="AB30" i="1"/>
  <c r="Z31" i="1" s="1"/>
  <c r="T30" i="19"/>
  <c r="Z30" i="19"/>
  <c r="Z10" i="19"/>
  <c r="AL50" i="19"/>
  <c r="N50" i="19"/>
  <c r="T40" i="19"/>
  <c r="T50" i="19"/>
  <c r="Z40" i="19"/>
  <c r="T20" i="19"/>
  <c r="AF40" i="19"/>
  <c r="AF20" i="19"/>
  <c r="N20" i="19"/>
  <c r="AL30" i="19"/>
  <c r="AL10" i="19"/>
  <c r="Z20" i="19"/>
  <c r="AL40" i="19"/>
  <c r="AF10" i="19"/>
  <c r="AL20" i="19"/>
  <c r="N40" i="19"/>
  <c r="AE29" i="1"/>
  <c r="Z50" i="19"/>
  <c r="AF50" i="19"/>
  <c r="N30" i="19"/>
  <c r="AF30" i="19"/>
  <c r="T10" i="19"/>
  <c r="N10" i="19"/>
  <c r="Q40" i="19"/>
  <c r="AC30" i="19"/>
  <c r="K20" i="19"/>
  <c r="W20" i="19"/>
  <c r="Q20" i="19"/>
  <c r="L47" i="19"/>
  <c r="AJ27" i="19"/>
  <c r="L7" i="19"/>
  <c r="L17" i="19"/>
  <c r="R17" i="19"/>
  <c r="AE17" i="1"/>
  <c r="AJ17" i="19"/>
  <c r="AD27" i="19"/>
  <c r="R7" i="19"/>
  <c r="R37" i="19"/>
  <c r="AD37" i="19"/>
  <c r="AD17" i="19"/>
  <c r="X27" i="19"/>
  <c r="X7" i="19"/>
  <c r="R47" i="19"/>
  <c r="AJ47" i="19"/>
  <c r="X47" i="19"/>
  <c r="X17" i="19"/>
  <c r="X37" i="19"/>
  <c r="L27" i="19"/>
  <c r="AJ7" i="19"/>
  <c r="AD47" i="19"/>
  <c r="AJ37" i="19"/>
  <c r="R27" i="19"/>
  <c r="L37" i="19"/>
  <c r="AD7" i="19"/>
  <c r="AC16" i="19"/>
  <c r="AI6" i="19"/>
  <c r="AC26" i="19"/>
  <c r="Q16" i="19"/>
  <c r="W16" i="19"/>
  <c r="W36" i="19"/>
  <c r="W6" i="19"/>
  <c r="K16" i="19"/>
  <c r="K6" i="19"/>
  <c r="AI16" i="19"/>
  <c r="Q46" i="19"/>
  <c r="AC46" i="19"/>
  <c r="K36" i="19"/>
  <c r="AE10" i="1"/>
  <c r="AI26" i="19"/>
  <c r="Q6" i="19"/>
  <c r="K46" i="19"/>
  <c r="Q36" i="19"/>
  <c r="W26" i="19"/>
  <c r="AC36" i="19"/>
  <c r="AI36" i="19"/>
  <c r="W46" i="19"/>
  <c r="AC6" i="19"/>
  <c r="K26" i="19"/>
  <c r="Q26" i="19"/>
  <c r="AI46" i="19"/>
  <c r="AB11" i="1"/>
  <c r="Z12" i="1" s="1"/>
  <c r="AA11" i="1"/>
  <c r="AB31" i="1" l="1"/>
  <c r="AA31" i="1"/>
  <c r="AE31" i="1" s="1"/>
  <c r="AA10" i="19"/>
  <c r="AM30" i="19"/>
  <c r="U20" i="19"/>
  <c r="O20" i="19"/>
  <c r="AM50" i="19"/>
  <c r="U10" i="19"/>
  <c r="AG20" i="19"/>
  <c r="AG50" i="19"/>
  <c r="AA40" i="19"/>
  <c r="AE30" i="1"/>
  <c r="AM10" i="19"/>
  <c r="O10" i="19"/>
  <c r="U30" i="19"/>
  <c r="U40" i="19"/>
  <c r="U50" i="19"/>
  <c r="AA30" i="19"/>
  <c r="AG40" i="19"/>
  <c r="O30" i="19"/>
  <c r="AG30" i="19"/>
  <c r="O40" i="19"/>
  <c r="AG10" i="19"/>
  <c r="AM20" i="19"/>
  <c r="AM40" i="19"/>
  <c r="O50" i="19"/>
  <c r="AA20" i="19"/>
  <c r="AA50" i="19"/>
  <c r="AB12" i="1"/>
  <c r="Z13" i="1" s="1"/>
  <c r="AA12" i="1"/>
  <c r="X26" i="19"/>
  <c r="AD36" i="19"/>
  <c r="AJ36" i="19"/>
  <c r="L6" i="19"/>
  <c r="AJ46" i="19"/>
  <c r="AD26" i="19"/>
  <c r="X46" i="19"/>
  <c r="R36" i="19"/>
  <c r="L36" i="19"/>
  <c r="R16" i="19"/>
  <c r="AJ16" i="19"/>
  <c r="AJ6" i="19"/>
  <c r="L46" i="19"/>
  <c r="AD16" i="19"/>
  <c r="AJ26" i="19"/>
  <c r="AD6" i="19"/>
  <c r="X6" i="19"/>
  <c r="R6" i="19"/>
  <c r="R46" i="19"/>
  <c r="X36" i="19"/>
  <c r="R26" i="19"/>
  <c r="X16" i="19"/>
  <c r="L16" i="19"/>
  <c r="L26" i="19"/>
  <c r="AD46" i="19"/>
  <c r="AE11" i="1"/>
  <c r="AE16" i="19" l="1"/>
  <c r="M36" i="19"/>
  <c r="M6" i="19"/>
  <c r="M26" i="19"/>
  <c r="AK36" i="19"/>
  <c r="Y16" i="19"/>
  <c r="S26" i="19"/>
  <c r="AE6" i="19"/>
  <c r="AE26" i="19"/>
  <c r="AE12" i="1"/>
  <c r="AK26" i="19"/>
  <c r="Y36" i="19"/>
  <c r="M16" i="19"/>
  <c r="AE46" i="19"/>
  <c r="S36" i="19"/>
  <c r="S16" i="19"/>
  <c r="AK46" i="19"/>
  <c r="AK6" i="19"/>
  <c r="Y6" i="19"/>
  <c r="M46" i="19"/>
  <c r="Y26" i="19"/>
  <c r="S46" i="19"/>
  <c r="AE36" i="19"/>
  <c r="S6" i="19"/>
  <c r="AK16" i="19"/>
  <c r="Y46" i="19"/>
  <c r="AA13" i="1"/>
  <c r="AB13" i="1"/>
  <c r="Z14" i="1" s="1"/>
  <c r="N46" i="19" l="1"/>
  <c r="AL36" i="19"/>
  <c r="T46" i="19"/>
  <c r="AE13" i="1"/>
  <c r="AF26" i="19"/>
  <c r="Z6" i="19"/>
  <c r="AF16" i="19"/>
  <c r="AL16" i="19"/>
  <c r="AL26" i="19"/>
  <c r="AF36" i="19"/>
  <c r="AL46" i="19"/>
  <c r="AF6" i="19"/>
  <c r="N36" i="19"/>
  <c r="N16" i="19"/>
  <c r="T16" i="19"/>
  <c r="T26" i="19"/>
  <c r="Z26" i="19"/>
  <c r="N6" i="19"/>
  <c r="T6" i="19"/>
  <c r="Z16" i="19"/>
  <c r="AL6" i="19"/>
  <c r="Z46" i="19"/>
  <c r="N26" i="19"/>
  <c r="AF46" i="19"/>
  <c r="Z36" i="19"/>
  <c r="T36" i="19"/>
  <c r="AA14" i="1"/>
  <c r="AB14" i="1"/>
  <c r="AA36" i="19" l="1"/>
  <c r="U16" i="19"/>
  <c r="AA16" i="19"/>
  <c r="AA26" i="19"/>
  <c r="O16" i="19"/>
  <c r="AM26" i="19"/>
  <c r="AG16" i="19"/>
  <c r="AA6" i="19"/>
  <c r="O46" i="19"/>
  <c r="AA46" i="19"/>
  <c r="AE14" i="1"/>
  <c r="O36" i="19"/>
  <c r="O26" i="19"/>
  <c r="AM6" i="19"/>
  <c r="AM16" i="19"/>
  <c r="U26" i="19"/>
  <c r="O6" i="19"/>
  <c r="AG26" i="19"/>
  <c r="U6" i="19"/>
  <c r="AG46" i="19"/>
  <c r="AG6" i="19"/>
  <c r="AM36" i="19"/>
  <c r="AG36" i="19"/>
  <c r="U46" i="19"/>
  <c r="U36" i="19"/>
  <c r="AM46" i="19"/>
</calcChain>
</file>

<file path=xl/sharedStrings.xml><?xml version="1.0" encoding="utf-8"?>
<sst xmlns="http://schemas.openxmlformats.org/spreadsheetml/2006/main" count="1281" uniqueCount="594">
  <si>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</si>
  <si>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</si>
  <si>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</si>
  <si>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</si>
  <si>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</si>
  <si>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</si>
  <si>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</si>
  <si>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</si>
  <si>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</si>
  <si>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</si>
  <si>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</si>
  <si>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</si>
  <si>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</si>
  <si>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</si>
  <si>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</si>
  <si>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</si>
  <si>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</si>
  <si>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</si>
  <si>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</si>
  <si>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</si>
  <si>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</si>
  <si>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</si>
  <si>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</si>
  <si>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</si>
  <si>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</si>
  <si>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</si>
  <si>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</si>
  <si>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</si>
  <si>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</si>
  <si>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</si>
  <si>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</si>
  <si>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</si>
  <si>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</si>
  <si>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</si>
  <si>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</si>
  <si>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</si>
  <si>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</si>
  <si>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</si>
  <si>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</si>
  <si>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</si>
  <si>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</si>
  <si>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</si>
  <si>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</si>
  <si>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</si>
  <si>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</si>
  <si>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</si>
  <si>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</si>
  <si>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</si>
  <si>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</si>
  <si>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</si>
  <si>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</si>
  <si>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</si>
  <si>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</si>
  <si>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</si>
  <si>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</si>
  <si>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</si>
  <si>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</si>
  <si>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</si>
  <si>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</si>
  <si>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</si>
  <si>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</si>
  <si>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</si>
  <si>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</si>
  <si>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</si>
  <si>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</si>
  <si>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</si>
  <si>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</si>
  <si>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</si>
  <si>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</si>
  <si>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</si>
  <si>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</si>
  <si>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</si>
  <si>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</si>
  <si>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</si>
  <si>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</si>
  <si>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</si>
  <si>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</si>
  <si>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</si>
  <si>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</si>
  <si>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</si>
  <si>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</si>
  <si>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</si>
  <si>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</si>
  <si>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</si>
  <si>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</si>
  <si>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</si>
  <si>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</si>
  <si>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</si>
  <si>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</si>
  <si>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</si>
  <si>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</si>
  <si>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</si>
  <si>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</si>
  <si>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</si>
  <si>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</si>
  <si>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</si>
  <si>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</si>
  <si>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</si>
  <si>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</si>
  <si>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</si>
  <si>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</si>
  <si>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</si>
  <si>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</si>
  <si>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</si>
  <si>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</si>
  <si>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</si>
  <si>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</si>
  <si>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</si>
  <si>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</si>
  <si>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</si>
  <si>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</si>
  <si>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</si>
  <si>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</si>
  <si>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</si>
  <si>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</si>
  <si>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</si>
  <si>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</si>
  <si>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</si>
  <si>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</si>
  <si>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</si>
  <si>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</si>
  <si>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</si>
  <si>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</si>
  <si>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</si>
  <si>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</si>
  <si>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</si>
  <si>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</si>
  <si>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</si>
  <si>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</si>
  <si>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r>
      <rPr>
        <b/>
        <sz val="11"/>
        <color indexed="53"/>
        <rFont val="Arial Narrow"/>
        <family val="2"/>
      </rPr>
      <t xml:space="preserve">*Nota: </t>
    </r>
    <r>
      <rPr>
        <sz val="11"/>
        <color indexed="8"/>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</si>
  <si>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</si>
  <si>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</si>
  <si>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</si>
  <si>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</si>
  <si>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</si>
  <si>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</si>
  <si>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</si>
  <si>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</si>
  <si>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</si>
  <si>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</si>
  <si>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</si>
  <si>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</si>
  <si>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</si>
  <si>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</si>
  <si>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</si>
  <si>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</si>
  <si>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</si>
  <si>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</si>
  <si>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</si>
  <si>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</si>
  <si>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</si>
  <si>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</si>
  <si>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</si>
  <si>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</si>
  <si>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</si>
  <si>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</si>
  <si>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indexed="53"/>
        <rFont val="Arial Narrow"/>
        <family val="2"/>
      </rPr>
      <t>*Nota 1:</t>
    </r>
    <r>
      <rPr>
        <sz val="12"/>
        <color indexed="8"/>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</si>
  <si>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</si>
  <si>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</si>
  <si>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indexed="53"/>
        <rFont val="Arial Narrow"/>
        <family val="2"/>
      </rPr>
      <t>*</t>
    </r>
    <r>
      <rPr>
        <b/>
        <sz val="12"/>
        <rFont val="Arial Narrow"/>
        <family val="2"/>
      </rPr>
      <t>Atributos de</t>
    </r>
    <r>
      <rPr>
        <b/>
        <sz val="12"/>
        <color indexed="53"/>
        <rFont val="Arial Narrow"/>
        <family val="2"/>
      </rPr>
      <t xml:space="preserve"> </t>
    </r>
    <r>
      <rPr>
        <b/>
        <sz val="12"/>
        <color indexed="8"/>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</si>
  <si>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</si>
  <si>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</si>
  <si>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</si>
  <si>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</si>
  <si>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</si>
  <si>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</si>
  <si>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indexed="53"/>
        <rFont val="Arial Narrow"/>
        <family val="2"/>
      </rPr>
      <t>Paso 2: identificación del riesgo</t>
    </r>
    <r>
      <rPr>
        <sz val="11"/>
        <rFont val="Arial Narrow"/>
        <family val="2"/>
      </rPr>
      <t xml:space="preserve">, donde se explica ampliamente las bases para adelanter este análisis.
Así mismo, considere en el </t>
    </r>
    <r>
      <rPr>
        <b/>
        <sz val="11"/>
        <color indexed="5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indexed="5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</si>
  <si>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</si>
  <si>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</si>
  <si>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</si>
  <si>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</si>
  <si>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</si>
  <si>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</si>
  <si>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indexed="5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</si>
  <si>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</si>
  <si>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</si>
  <si>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</si>
  <si>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</si>
  <si>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</si>
  <si>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</si>
  <si>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</si>
  <si>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</si>
  <si>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</si>
  <si>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</si>
  <si>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</si>
  <si>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</si>
  <si>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</si>
  <si>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</si>
  <si>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indexed="5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</si>
  <si>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</si>
  <si>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</si>
  <si>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</si>
  <si>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</si>
  <si>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</si>
  <si>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</si>
  <si>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</si>
  <si>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</si>
  <si>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</si>
  <si>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</si>
  <si>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</si>
  <si>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</si>
  <si>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</si>
  <si>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</si>
  <si>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</si>
  <si>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</si>
  <si>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</si>
  <si>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indexed="5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</si>
  <si>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</si>
  <si>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</si>
  <si>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</si>
  <si>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indexed="53"/>
        <rFont val="Arial Narrow"/>
        <family val="2"/>
      </rPr>
      <t>POSIBILIDAD DE + Impacto para la entidad (Qué) + Causa Inmediata (Cómo) + Causa Raíz (Por qué)</t>
    </r>
  </si>
  <si>
    <t>GESTIÓN ADMINISTRATIVA</t>
  </si>
  <si>
    <t>Área:</t>
  </si>
  <si>
    <t>TALENTO HUMANO</t>
  </si>
  <si>
    <t>TICS</t>
  </si>
  <si>
    <t>MANTENIMIENTO</t>
  </si>
  <si>
    <t>GESTIÓN DOCUMENTAL</t>
  </si>
  <si>
    <t>ALMACÉN</t>
  </si>
  <si>
    <t>PLANEACIÓN</t>
  </si>
  <si>
    <t>DIRECCIONAMIENTO ESTRATÉGICO</t>
  </si>
  <si>
    <t>CULTURA VIAL</t>
  </si>
  <si>
    <t>CONTROL VIAL</t>
  </si>
  <si>
    <t>CDA</t>
  </si>
  <si>
    <t>GESTIÓN DE AUDITORÍA</t>
  </si>
  <si>
    <t>OFICINA DE CONTROL INTERNO Y GESTION</t>
  </si>
  <si>
    <t>GESTIÓN DE LA INFORMACION TICS</t>
  </si>
  <si>
    <t>FINANCIERA</t>
  </si>
  <si>
    <t>GESTION JURIDICA</t>
  </si>
  <si>
    <t>CONTRATACIÓN</t>
  </si>
  <si>
    <t>ALTA DIRECCIÓN</t>
  </si>
  <si>
    <t>PLANEAMIENTO VIAL</t>
  </si>
  <si>
    <t>REGISTRO DE LA INFORMACION</t>
  </si>
  <si>
    <t>LICENCIAS</t>
  </si>
  <si>
    <t>SERVICIO AL CLIENTE</t>
  </si>
  <si>
    <t>SISTEMAS INTEGRADOS DE GESTION</t>
  </si>
  <si>
    <t>CALIDAD</t>
  </si>
  <si>
    <t>Incumplimiento al Programa Anual de Auditoría de la Oficina de Control Interno y Gestión.</t>
  </si>
  <si>
    <t xml:space="preserve">Debilitamiento del Sistema de Control Interno   </t>
  </si>
  <si>
    <t>* Tablero de control.
* Seguimiento a la ejecución del Programa de Auditorias con el equipo interdisciplinario de la OCI.</t>
  </si>
  <si>
    <t>Jefe Oficina de Control Interno y Gestión</t>
  </si>
  <si>
    <t xml:space="preserve">*Personal Interdisciplinario insuficiente. 
* Insuficiencia de recursos tecnológicos. 
* Falta de planeación en las actividades.
* Desconocimiento de la norma.
* Dificultad de acceso a la información.
</t>
  </si>
  <si>
    <t>SEGURIDAD Y SALUD EN EL TRABAJO</t>
  </si>
  <si>
    <t xml:space="preserve">CONTROL INTERNO DISCIPLINARIO </t>
  </si>
  <si>
    <t>Incumplimiento en la entrega de las incapacidades por parte de Talento Humano.</t>
  </si>
  <si>
    <t>No cobro oportuno de las incapacidades generadas por accidentes o enfermedad laboral a la ARL.</t>
  </si>
  <si>
    <t>Falta de seguimiento y control al Plan de trabajo del sistema de gestión de seguridad y salud en el trabajo.</t>
  </si>
  <si>
    <t>Falta de recursos económicos, técnicos y de talento humano requeridos para cumplir con el Plan de trabajo.</t>
  </si>
  <si>
    <t>Ausencia de material probatorio necesario para adelantar las investigaciones disciplinarias de los servidores publicos de la Dirección de Tránsito de Bucaramanga.</t>
  </si>
  <si>
    <t>Ausencia de personal capacitado para solicitar y entregar las pruebas necesarias.</t>
  </si>
  <si>
    <t>Ausencia de personal para suplir con todas las solicitudes generadas por parte de la entidad en general.</t>
  </si>
  <si>
    <t xml:space="preserve">Carencia  de recursos suficientes para diseñar un plan de mantenimiento anual de la DTB
</t>
  </si>
  <si>
    <t>Falta de aplicación de las TRD</t>
  </si>
  <si>
    <t>Falta de apropiación de los funcionarios y/o colaboradores en los temas de Gestión documental</t>
  </si>
  <si>
    <t>Insuficiente desarrollo de las actividades descritas en el Sistema Integrado de Conservación Documental (SIC) de la DTB</t>
  </si>
  <si>
    <t>Falta de recursos financieros asignados que garantizan el cumplimiento de este programa</t>
  </si>
  <si>
    <t>Falta de concentración por parte del funcionario.
Variedad de actividades a realizar en el mismo momento.</t>
  </si>
  <si>
    <t>Error de digitación por parte del funcionario.</t>
  </si>
  <si>
    <t>El asesor de talento humano, mensualmente verifica que todas las incapacidades reportadas por las dependencias esten radicadas en la EPS correspondiente.</t>
  </si>
  <si>
    <t>El asesor de Talento Humano valida que la información esté completa y correctamente transcrita en los datos de la Certificación Electrónica de Tiempos Laborados.</t>
  </si>
  <si>
    <t>La auxiliar administrativa lleva una base de datos de control de procesos y quejas disciplinarias donde se registran las diferentes actuaciones, para cada etapa procesal de los casos que están en curso. Ese cuadro contiene nombre del investigado, contra quien va dirigido, fecha de radicado, fecha de los hechos, fecha de inicio de indagación, fecha de archivo, entre otros.</t>
  </si>
  <si>
    <t xml:space="preserve">La funcionaria encargada lleva un registro escrito de las jornadas de limpieza, fumigaciones y mantenimiento que se realizan en el archivo central.
*La funcionaria encargada realiza capacitación a todo el personal de la DTB cada semestre, sobre buenas prácticas de manipulación documental </t>
  </si>
  <si>
    <t>Jefe Talento Humano</t>
  </si>
  <si>
    <t>Actualización del protocolo de búsqueda de la información para la emisión del formulario único electrónico de certificación de tiempos laborados.</t>
  </si>
  <si>
    <t>lider del proceso</t>
  </si>
  <si>
    <t>Auxiliar administrativa y profesional especializado de control interno disciplinario.</t>
  </si>
  <si>
    <t>Deficiencia en la infraestructura tecnológica para el cumplimiento de la prestación de los servicios de la Dirección de Tránsito de Bucaramanga</t>
  </si>
  <si>
    <t>Falta de recursos financieros para la adquisición, soporte y mantenimiento de la infraestructura tecnológica de hardware y software necesario en el desarrollo de los procesos internos de la entidad.</t>
  </si>
  <si>
    <r>
      <t xml:space="preserve">Posibilidad de afectación económica y reputacional por la deficiencia en la infraestructura tecnológica para el cumplimiento eficaz y eficiente  en la prestación de los servicios de la DTB  
</t>
    </r>
    <r>
      <rPr>
        <sz val="11"/>
        <color indexed="10"/>
        <rFont val="Arial Narrow"/>
        <family val="2"/>
      </rPr>
      <t xml:space="preserve">
</t>
    </r>
  </si>
  <si>
    <t>Perdida de la información y retrasos en los procesos</t>
  </si>
  <si>
    <t>Manejo no adecuado de la  información que genera la entidad por falta de la implementación de estandares y buenas practicas de seguridad de la información de la entidad.</t>
  </si>
  <si>
    <t>Posibilidad de afectación económica y reputacional a causa de la perdida de la información debido al tratamiento no adecuado de la información que maneja la entidad por falta de la implementación de estándares y buenas prácticas de seguridad de la información.</t>
  </si>
  <si>
    <t xml:space="preserve">La no atención oportuna de soporte a los requerimientos técnicos requeridos por las distintas dependencias de la de la DTB </t>
  </si>
  <si>
    <t>Posibilidad de afectación reputacional por disminución en los niveles de servicio y satisfacción de los usuarios internos de la entidad debido a la no atención oportuna de soporte a los requerimientos técnicos requeridos por las distintas dependencias de la DTB</t>
  </si>
  <si>
    <t>* El jefe de la oficina asesora de sistemas identificara las necesidades de cada área con el fin de solicitar los recursos necesarios para el mantenimiento de equipos, impresoras y elementos tecnologicos.</t>
  </si>
  <si>
    <t>El profesional asigando  llevara un registro  de los requerimientos de soporte que lleguen al área de sistemas y estara pendiente de que todos se realicen en los tiempos establecidos a través de la generación de  indicadores de atención.</t>
  </si>
  <si>
    <t>El jefe de la oficina asesora de sistemas realiza seguimiento a los correos enviados por el sistema PQRSD, y delega a los contratistas y funcionarios encargados, para dar respuesta oportuna dentro de los términos establecidos.</t>
  </si>
  <si>
    <t>Jefe Oficina de sistemas</t>
  </si>
  <si>
    <t>Realizar un (1) informe semestral del nivel de cumplimiento de las solicitudes de soporte técnico y  requerimientos de sistemas de información.</t>
  </si>
  <si>
    <t>Asesora grado 02</t>
  </si>
  <si>
    <t>Especializado de cultura vial</t>
  </si>
  <si>
    <t>Generar una inspección errónea voluntaria o involuntariamente, que quede registrada en el Sistema de control y vigilancia (SICOV), causando una investigación por parte de la superintendencia de transporte.</t>
  </si>
  <si>
    <t>Ausencia de competencias de formación por parte de los inspectores y directores técnicos.
Falencias en el mantenimiento y calibración de los equipos de inspección mecanizadas.</t>
  </si>
  <si>
    <t>Jefe de la oficina asesora CDA</t>
  </si>
  <si>
    <t xml:space="preserve">Aumento de los traslados presupuestales en la vigencia.
Demoras en los pagos de las obligaciones contraídas por omitir el PAC.
</t>
  </si>
  <si>
    <t>Incumplimiento en la planeación del PAC de la vigencia.</t>
  </si>
  <si>
    <t>Incumplimiento en los tiempos estipulados por parte de las áreas encargadas.</t>
  </si>
  <si>
    <t xml:space="preserve">Falta de gestión por parte del asesor jurídico para el reparto adecuado y tiempo estipulado al área correspondiente para dar respuesta.
</t>
  </si>
  <si>
    <t>Tiempos limitados para proyectar y/o revisar los actos administrativos correspondientes.</t>
  </si>
  <si>
    <t>Ausencia de personal con experciencia en el tema para realizar la proyección y/o revisión de los actos administrativos.</t>
  </si>
  <si>
    <t>Altas Operaciones en la plataforma del Sistema Electrónico de contratación SECOP II.
Equipos de cómputo sin mantenimiento.</t>
  </si>
  <si>
    <t xml:space="preserve">Aumento de Usurarios trabajando al mismo tiempo en procesos contractuales en la plataforma, colapsando el funcionamiento del servidor.
</t>
  </si>
  <si>
    <t>*Falta de seguimiento a los procesos contractuales por parte del supervisor.</t>
  </si>
  <si>
    <t>* Falta de seguimiento y control a los abogados externos por parte de la oficina jurídica, que llevan los procesos de las demandas.</t>
  </si>
  <si>
    <t>*Ausencia de Abogados de planta capacitados para dar respuesta a dichos trámites.</t>
  </si>
  <si>
    <t>La abogada contratista encargada lleva el control del cuadro de litigios.</t>
  </si>
  <si>
    <t>La jefe jurídica realizar un filtro jurídico de todos los actos administrativos proyectados y/o revisados por su equipo de trabajo, comprobando la veracidad de la información.
Cuando son actos administrativos pendientes por revisar, los abogados asignados realizar el primer filtro y por último pasa a la jefe jurídica.</t>
  </si>
  <si>
    <t>La funcionaria asiganada realiza las publicaciones en el la plataforma del SECOP II, en ¨hora valle¨ para su mayor fluidez en la ejecución de la actividad.</t>
  </si>
  <si>
    <t>La funcionaria y secretaria ejecutiva llevan un control interno de los contratos que requieren garantía y actualización de las mismas.</t>
  </si>
  <si>
    <t>Crear y publicar por medio de una circular un cronograma con los temas y tiempos estipulados para la entrega y/o revisión de los actos administrativos por parte de las área gestoras de la DTB.</t>
  </si>
  <si>
    <t>La persona encargada del proceso realizará estandarización por medio de un formato codificado, donde indique número de contrato, nombre del contratista, pólizas requeridas, clase de políza y si es de presentación o actualización, llevando así un mejor control de los contratos que requieren garantías.</t>
  </si>
  <si>
    <t>*Malas prácticas y/o costumbres en la trazabilidad de las evidencias que reposan expedientes contractuales.
* Desinterés en asistir a las capacitaciones del manejo del Sistema Electrónico de Contratación SECOP II.</t>
  </si>
  <si>
    <t>*Inadecuado ejercicio en la supervisión de contratos y exigencia del cumplimiento a los contratistas
*Falta de compromiso y sentido de pertenencia con la entidad.</t>
  </si>
  <si>
    <t>La Asesora Grado 02 de la Oficina Asesora De Contratación, por medio de circulares y memorandos les recuerda a cada supervisor la importancia del rol que tienen como líderes de procesos contractuales, respecto a la ejecución del contrato, liquidación de los mismos,  la publicación de los informes de los contratistas y supervisión, entre otros, de la misma manera los invita a asistir a las capacitaciones que se realizan mensualmente.</t>
  </si>
  <si>
    <t xml:space="preserve">Demoras en la consolidación de la información por las dependencias </t>
  </si>
  <si>
    <t>Alta dirección</t>
  </si>
  <si>
    <t>Actividades ilícitas por parte de los clientes externos para obtener dichos insumos sin autorización.</t>
  </si>
  <si>
    <t>No se cuenta con la seguridad adecuada para e resguardo de cintas holográficas y sustratos.</t>
  </si>
  <si>
    <t>Incorrecta proyección de la cantidad requerida en insumos y maquinaria.</t>
  </si>
  <si>
    <t>Ausencia de presupúesto para la compra de nuevos equipos e insumos.</t>
  </si>
  <si>
    <t xml:space="preserve">La líder del proceso controla por medio de un registro, los insumos en los formatos FT-RINF-003 Control de cintas y FT-RINF-004.                               
Los  insumos (sustratos y cintas) se guardan en archivador, el cual cuenta con llave y acceso solo al líder del proceso.                                                                                                                 </t>
  </si>
  <si>
    <t xml:space="preserve">El área de licecnias realiza la proyección de los insumos a utilizar en la vigencia y envía sistemas para su aprobación y validación.
</t>
  </si>
  <si>
    <t>El área de licencias, solicitará a la dirección general por medio de un memorando la instalación de cámaras de seguridad para cubrir la zona donde se encuentran los insumos y monitorear el manejo del mismo.</t>
  </si>
  <si>
    <t>Licencias</t>
  </si>
  <si>
    <t>Agotamiento físico por parte de los funcionarios y/o asesores que cumplen con el proceso de atención al usuario.</t>
  </si>
  <si>
    <t>Ausencia de personal con la actitud adecuada para cumplir con las actividades de atención al usuario.</t>
  </si>
  <si>
    <t>Posibilidad de generar inconformidad al usuario que es atendido directamente por cualquiera de los funcionarios la DTB, por ausencia de personal con la actitud adecuada para cumplir con las actividades y/o agotamiento físico por parte de los mismos.</t>
  </si>
  <si>
    <t>El auxiliar administrativo realiza diariamente la encuentra de satisfacción al cliente aleatoriamente a los usuarios que son atendidos directamente en la DTB.</t>
  </si>
  <si>
    <t xml:space="preserve">Realizar una socialización cuatrimestral a todos los responsable de dar respuesta a cada solicitud, sobre la importancia del cumplimiento de los indicadores de las PQRS para la DTB. </t>
  </si>
  <si>
    <t>Realizar una capacitación cuatrimestral a los funcionarios de la DTB que tienen contacto directo con los usuarios en atención al cliente.</t>
  </si>
  <si>
    <t>Líder del Proceso de Atención al Usuario</t>
  </si>
  <si>
    <t>Incumplimiento de los requisitos del Sistema integrado de gestión de calidad y ambiental</t>
  </si>
  <si>
    <t>Desconocimiento o negligencia de los colaboradores sobre los procedimientos y/o programas establecidos en el Sistema integrado de gestión de calidad y ambiental.
Falta de recursos para ejecutar actividades del sistema.</t>
  </si>
  <si>
    <t>El Asesor de calidad anualmente realiza inducción y/o reinducción de los sistemas de gestión a los colaboradores de la Entidad</t>
  </si>
  <si>
    <t>El asesor de calidad anualmente audita los procesos de la Entidad.</t>
  </si>
  <si>
    <t>El asesor de calidad mensualmente, trimestralmente, semestralmente o anualmente,  realiza seguimiento y reporte de los indicadores ambientales establecidos en los programas ambientales.</t>
  </si>
  <si>
    <t>Los líderes los procesos establecen planes de mejoramiento cuando se detecten no conformidades u oportunidades de mejora.</t>
  </si>
  <si>
    <t>El Asesor de calidad realiza seguimiento mensual al reporte de los indicadores de gestión que realizan desde cada uno de los procesos de la Entidad</t>
  </si>
  <si>
    <t>El Asesor de calidad realiza capacitaciones y sensibilizaciones permanentes sobre los aspecto e impactos ambientales</t>
  </si>
  <si>
    <t xml:space="preserve">Falta de organización en el proceso de contratación </t>
  </si>
  <si>
    <t>Inadecuada ejecución de los procesos de contratacón</t>
  </si>
  <si>
    <t>La persona encargada del proceso de contratación debera realizar un plan de trabajo en cual priorice el proceso de contratación de acuerdo a las necesidades de funcionamiento de la entidad en los tiempos y requerimientos estipulados.</t>
  </si>
  <si>
    <t>La persona encargada de la contratación debera entregar un cronograma del proceso de contratación de acuerdo a las necesidades de funcionamiento de la entidad en tiempos estipulados.</t>
  </si>
  <si>
    <t xml:space="preserve">Comandante General </t>
  </si>
  <si>
    <t xml:space="preserve">Entrega de información extemporanea a los entes de control 
</t>
  </si>
  <si>
    <t>EJECUCIONES FISCALES</t>
  </si>
  <si>
    <t>Vencimiento de términos dispuestos en la Ley</t>
  </si>
  <si>
    <t>Falta de personal que realice el cargue de los procesos al sistema</t>
  </si>
  <si>
    <t>Se facilita una persona que ayude a subir los documentos al sistema con el fin de poder tener la información en el menor tiempo y asi dar incio al proceso de cobro persuasivo.</t>
  </si>
  <si>
    <t>Jefe de ejecuciones fiscales</t>
  </si>
  <si>
    <t>Vencimiento de términos para el cobro coactivo</t>
  </si>
  <si>
    <t>Falta de planificación y control en la etapas del cobro</t>
  </si>
  <si>
    <t>Se lleva un cronograma de los vencimientos de cada proceso con el fin de minimizar el riesgo de la ejecución de cada proceso</t>
  </si>
  <si>
    <t xml:space="preserve">llevar actualizado el cronograma de los vecimentos de cada  proceso </t>
  </si>
  <si>
    <t>Incumplimiento en las fechas establecidas de cada compromiso</t>
  </si>
  <si>
    <t>REGISTRO AUTOMOTOR</t>
  </si>
  <si>
    <t>Los auxiliares administrativos que conforman la mesa de ayuda, verifican que los datos registrados en la plataforma Runt corresponda a los soportes que reposan en la carpeta física del vehículo.</t>
  </si>
  <si>
    <t>El Asesor del Grupo Registro Automotor presentará ante la alta Dirección una (1) alternativa para realizar el proceso de migración, actualización y depuración de la base de datos de vehículos inscritos en la Dirección de Tránsito de Bucaramanga. Labor que debe ser desarrollada con el apoyo del asesor adscrito a la oficina de Sistemas. Para lo cual se debe considerar la imperiosa necesidad de contratar una firma especializada en actualización y migración de base de datos, que tenga a su disposición el personal idóneo y herramientas tecnológicas para su depuración.</t>
  </si>
  <si>
    <t>Asesor Grado 01
Grupo Registro Automotor</t>
  </si>
  <si>
    <t>TESORERIA</t>
  </si>
  <si>
    <t xml:space="preserve">Realizar un cronograma anual del programa de capacitaciones y bienestar de la DTB, teniendo en cuenta las necesidades y requerimientos generados por cada área </t>
  </si>
  <si>
    <t>Jefe de Tesoreria</t>
  </si>
  <si>
    <t>El Asesor encargado de las incapacidades, realizara mensualmente un informe de la conciliación de los pagos efectuados por concepto de incapacidades que son remitidos por Grupo de Gestión Financiera y el registro de incapacidades del Grupo de Gestión Humana.</t>
  </si>
  <si>
    <t>La persona encargada del proceso esta pendiente del envio que realiza talento humano con el fin de radicar la incapacidad.</t>
  </si>
  <si>
    <t>El contratista encargado se reune  trimestralmente con la tesorera para reportar los traslados realizados durante este periodo.</t>
  </si>
  <si>
    <t>El asesor de calidad del CDA, realiza una lista chequeo de acuerdo al procedimient de inspección de los ítems verificados y registrados por las cámaras del sistemas de control y vigilancia SICOV, para establecer especial cuidado a la revisión de cada uno de estos.</t>
  </si>
  <si>
    <t xml:space="preserve">Solicitar la contratación de más personal para que puedan cumplir en los tiempos estipulados el cargue de los oficios en el sistema </t>
  </si>
  <si>
    <t>* El profesional encargado de Seguridad de la información valida que las políticas de acceso a la información se encuentren actualizadas a las necesidades de la entidad y acorde a la normatividad legal vigente. 
* El profesional encargado facilita que los servidores públicos y contratistas de la entidad conozcan y apliquen los aspectos referentes a la seguridad de los datos incluidos en la política de tratamiento de datos personales de la entidad.</t>
  </si>
  <si>
    <t>Realizar mesas de trabajo con el fin de identificar las necesidades de cada área para garantizar los recursos necesarios en el cumplimiento de sus labores
Realizar un adecuado planeamiento y gestión en el Plan Anual de Adquisiciones; para contar con los recursos necesarios para establecer un seguimiento continuo de mantenimiento y soporte técnico de la infraestructura tecnológica de la DTB, con el propósito de atender oportunamente las incidencias y novedades presentadas.</t>
  </si>
  <si>
    <t>Elaborar o altualizar el MSPI y socializarlo a través de la entidad.
Realizar una capacitación a través del Ministerio de Tecnologías de la Información y Comunicaciones de forma virtual a todos los funcionarios y contratistas de la entidad
Realizar una (1) capacitaciones,  una a nivel directivo y otra a nivel de usuarios con respecto a las políticas de seguridad de la información.</t>
  </si>
  <si>
    <t>La persona encargada por medio de memorando remite la radicacion de cada incapacidad al área de talento humano con el fin de garantizar la respectiva radicación</t>
  </si>
  <si>
    <t>Jefe Oficina Planeación</t>
  </si>
  <si>
    <t xml:space="preserve">Realizar mensualmente el seguimiento a los procesos que se encuentran a cargo de cada abogado  de la defensa judicial  (cuadro de  los procesos) </t>
  </si>
  <si>
    <t xml:space="preserve">*El Asesor de calidad del CDA, actualizará el procedimiento de inspección de vehículos haciendo especial connotación en los ítems controlados por SICOV, a través de cámaras.
*Se realizaran capacitaciones al personal asignado 
*Se realizará actualización técnica y electrócnicas de los equipos de inspección, así como la actualización del software de realización de pruebas.* Fichas técnicas, manual del software y certificados de calibración actualizados.
</t>
  </si>
  <si>
    <t>La persona encargada debera verifcar la asignación de los recurso y la programación de las actividades establecidas.</t>
  </si>
  <si>
    <t>El responsable de la oficina realizara un control  al  informe de las actividades realizadas de acuerdo al cronograma establecido en el plan de trabajo</t>
  </si>
  <si>
    <t>La persona encargada debera verificar el cumplimiento de las diferentes etapas del proceso las cuales deberan estar registradas en el formato FT-GADM-056 con  las observaciones correspondientes según sea en caso.</t>
  </si>
  <si>
    <t xml:space="preserve">Se debera llevar un seguimiento periodico del cambio  de las contraseñas de las diferentes  redes sociales de la DTB.
</t>
  </si>
  <si>
    <t>El asesor jurídico lleva un control entre el  libro radicado y un Excel denominado cuadro control de tutelas en el cual se evidencia, el numero del radicado, el accionante, la fecha del radicado, la fecha de contestación, la fecha de envio, el fallo y el área se remite la información.</t>
  </si>
  <si>
    <t xml:space="preserve">Se realiza un seguimiento de todas las tutelas y se verifica el cumpliento de la respuesta en los terminos estipulados por la ley </t>
  </si>
  <si>
    <t>La Asesora grado 02 realizara cambio de  contraseñas de las redes sociales periodicamente como medida de prevención.</t>
  </si>
  <si>
    <t>Se debe capacitar un administrativo en el proceso de pagos y el manejo de los diferentes portales bancarios que tiene la DTB</t>
  </si>
  <si>
    <t>PROCESO DIRECCIONAMIENTO ESTRATEGICO</t>
  </si>
  <si>
    <t>MAPA DE RIESGOS INSTITUCIONAL</t>
  </si>
  <si>
    <t>Código: FT-DIR-054</t>
  </si>
  <si>
    <t>Serie:100-9.0-65</t>
  </si>
  <si>
    <t>Versión: 01</t>
  </si>
  <si>
    <t>Página: 1 de 1</t>
  </si>
  <si>
    <t>Código: 
FT-DIR-054</t>
  </si>
  <si>
    <t>Serie:</t>
  </si>
  <si>
    <t>VERSIÓN</t>
  </si>
  <si>
    <t>FECHA DE APROBACIÓN</t>
  </si>
  <si>
    <t>FECHA DE IMPLEMENTACIÓN</t>
  </si>
  <si>
    <t>DESCRIPCIÓN DEL CAMBIO</t>
  </si>
  <si>
    <t>01</t>
  </si>
  <si>
    <t>Octubre 26 de 2023</t>
  </si>
  <si>
    <t>Emisión inicial.</t>
  </si>
  <si>
    <t>Lider del proceso</t>
  </si>
  <si>
    <t>Actos Administrativos de Traslados de Recursos  realizados de manera trimestral</t>
  </si>
  <si>
    <t>El secop  es  una plataforma transaccional el cual su funcionamiento depende de la accesibilidad de la misma .</t>
  </si>
  <si>
    <t>Lider de proceso</t>
  </si>
  <si>
    <t>circulares y memorandos les recuerda a cada supervisor la importancia del rol que tienen como líderes de procesos contractuale</t>
  </si>
  <si>
    <t>Programacion de actividades</t>
  </si>
  <si>
    <t>OFICINA PRENSA Y COMUNICACIONES</t>
  </si>
  <si>
    <t xml:space="preserve">Cartera que no corresponde a los estados financieros de la entidad </t>
  </si>
  <si>
    <t xml:space="preserve">Falta de depuración y prescripciones de oficio de inventarios con incidencia en los estados financieros </t>
  </si>
  <si>
    <t>Entre 50 y 100 SMLMV</t>
  </si>
  <si>
    <t xml:space="preserve">El área fianciera realiza el informe del estado real de cartera de la entidad.                                                                                                                                                                                            </t>
  </si>
  <si>
    <t>moderado</t>
  </si>
  <si>
    <t xml:space="preserve">el líder de procesos debe realizar estrategias en la recuperación de cartera y la depuración de la misma.  </t>
  </si>
  <si>
    <t>Líder de Proceso</t>
  </si>
  <si>
    <t>JEFE JURÍDICO</t>
  </si>
  <si>
    <t>JEFE JURÌDICO</t>
  </si>
  <si>
    <t>Se requiere la caracterización y actualización  del proceso de pagos 
Capacitación a todo el personal de la entidad una vez actualizado el procesos.</t>
  </si>
  <si>
    <t xml:space="preserve">Invitación Auditoría Externa de Calidad </t>
  </si>
  <si>
    <t xml:space="preserve">Realizar mesas de trabajo </t>
  </si>
  <si>
    <t>Falta de planificación de las actividades de contable</t>
  </si>
  <si>
    <t xml:space="preserve">El lider de proceso de establecer las fechas y los encargados de suministrar la infromación solcitada por los entes de control </t>
  </si>
  <si>
    <t>baja</t>
  </si>
  <si>
    <t xml:space="preserve">Establecer las acciones desde el líder de proceso para dar cumplimiento a lo solicitado por los entes de control </t>
  </si>
  <si>
    <t xml:space="preserve">CONTROL VIAL </t>
  </si>
  <si>
    <t>documentado</t>
  </si>
  <si>
    <t xml:space="preserve">Continua </t>
  </si>
  <si>
    <t>con Registro</t>
  </si>
  <si>
    <t xml:space="preserve">Jefe Jurídico </t>
  </si>
  <si>
    <t xml:space="preserve">En ejecución </t>
  </si>
  <si>
    <t xml:space="preserve">El riesgo afecta la imagen de la entidad y la confinza del usuario </t>
  </si>
  <si>
    <t>manual</t>
  </si>
  <si>
    <t>continua</t>
  </si>
  <si>
    <t>extremo</t>
  </si>
  <si>
    <t xml:space="preserve">Realizar las solicitudes a las áreas compententes para atender la solicitud por parte de la entidad </t>
  </si>
  <si>
    <t xml:space="preserve">Incumplimiento en la entrega de los informes solicitados a lo líderes resposnables del reporte de infromación ante los entes de control y entidades de orden Nacional, Departamental o Municipal. 
</t>
  </si>
  <si>
    <t>La dirección general mediante circular interna, recuerda nuevamente dentro de sus funciones y compatencias de los responsables de la DTB para la rendición de los informes de  los entes de control y demás entidqades del nivel Nacional, Departamental y Territorial.</t>
  </si>
  <si>
    <t>Perdida de credibilidad y confianza de la ciudadanía</t>
  </si>
  <si>
    <t>Ejecución de actividades de control en vía fuera de los requisitos técnicos y normativos en control de tránsito y transporte.</t>
  </si>
  <si>
    <t>Posibilidad de afectación reputacional por perdida de credibilidad y confianza de la ciudadanía debido a la ejecución de actividades de control en vía fuera de los requisitos técnicos y normativos en control de tránsito y transporte.</t>
  </si>
  <si>
    <t>Implementación de acciones de gestión en vía fuera de las condiciones de programación</t>
  </si>
  <si>
    <t>Posibilidad de afectación reputacional por perdida de credibilidad y confianza de la ciudadanía debido a la implementación de acciones de gestión en vía fuera de las condiciones de programación.</t>
  </si>
  <si>
    <t>Demandas de los usuarios</t>
  </si>
  <si>
    <t>Digitar y/o transcribir de manejera erronea la informacion y  datos  contenidos en los comparendos.</t>
  </si>
  <si>
    <t xml:space="preserve">   El riesgo afecta la imagen de alguna área de la organización</t>
  </si>
  <si>
    <t>El Comandante realiza la priorización del personal disponible conforme a las actividades de gestión en vía programadas mediante las solicitudes allegadas o solicitudes directas de la Dirección General</t>
  </si>
  <si>
    <t>El agente de transito, revisa que la informacion suministrada por presunto infractor sea la misma registrada en los documentos correspondientes.</t>
  </si>
  <si>
    <t>Desactualización de la información</t>
  </si>
  <si>
    <t>Material estadistico desactualizado:
* Deficiencia en los Canales de Comunicación
* Reprocesos
* Incumplimiento de metas
* Baja eficiencia
 deficientes
* Deficiente gestión con los medios y gestores de opinión</t>
  </si>
  <si>
    <t>Actualizacion del material informatico presentada a los asistente del curso segúnla normatividad legal vigente</t>
  </si>
  <si>
    <t>Actores viales no capacitados en seguridad vial aumentando el riesgo de siniestraolidad</t>
  </si>
  <si>
    <t>Falta de programas de capacitaciones definidos.
Falta de presupuesto
Falta de personal capacitado
Cambio de normatividad</t>
  </si>
  <si>
    <t xml:space="preserve">* Indicadores de gestion
* Cronograma de planes educativos de seguridad vial.
* Estudios previos
</t>
  </si>
  <si>
    <t>SEÑALIZACIÓN</t>
  </si>
  <si>
    <t xml:space="preserve">Moderado </t>
  </si>
  <si>
    <t>El Profesional especializado de señalización realizar registro de la actividad a realizar con las especificaciones de la misma</t>
  </si>
  <si>
    <t>El Profesional especializado de señalización realizar registro y seguimiento al consumo de material</t>
  </si>
  <si>
    <t>Líder de Señalización</t>
  </si>
  <si>
    <t>Perdida de credibilidad y confianza de la ciudadania</t>
  </si>
  <si>
    <t xml:space="preserve"> El riesgo afecta la imagen de la entidad con algunos usuarios de relevancia frente al logro de los objetivos</t>
  </si>
  <si>
    <t xml:space="preserve">Los profesionales encargados de revisar la aprobación o no del PMT verificaran el cumplimiento de la totalidad de requisitos establecidos en el proedimiento PMT , conforme a la demanda o solicitudes recibidas. </t>
  </si>
  <si>
    <t xml:space="preserve">Falta de cumplimiento al plan de acción vigencias 2024-2027, por parte de la áreas encargadas de metas dentro del plan de acción con respuesta oportuna a las actividades
</t>
  </si>
  <si>
    <t xml:space="preserve">La persona encargada del área de planeación solicitara el reporte con los avances de cumplimiento y los soportes a cada una de las áreas. </t>
  </si>
  <si>
    <t>Posibilidad de afectación económica y reputacional por la negación del reconocimiento de las incapacidades debido al incumplimiento de los requisitos exigidos por la EPS.</t>
  </si>
  <si>
    <t xml:space="preserve">debido al incumplimiento de los requisitos exigidos por la EPS.
Incumplimiento con lo establecido en decreto 780 de 2016:
</t>
  </si>
  <si>
    <t>por la negación del reconocimiento de las incapacidades</t>
  </si>
  <si>
    <t>pérdida económica y reputacional por queja, reclamo, tutela o demanda del usuario</t>
  </si>
  <si>
    <t>Posibilidad de afectación económica y reputacional por sanciones de entes de control al no cobro de las incapacidades a la ARL y/o incumplimiento en la entrega de las mismas por parte de talento humano.</t>
  </si>
  <si>
    <t>Posibilidad de efactación por snaciones del ministerio debido al incumplimiento de los estandares minimos plan de trabajo.</t>
  </si>
  <si>
    <t>Posibilidad de afectación reputacional por no sanciones disciplinarias debido al prescripción y caducidad etapas procesales.</t>
  </si>
  <si>
    <t xml:space="preserve">Posibilidad de eftación reputacional por debilidades en la infraestructura del manetnimiento </t>
  </si>
  <si>
    <t>Posibilidad de eftación economica y reputacional por incumplimiento el la Ley de Trsnapsrecia y acceso a la infromación debido a la publicación estemporane del SECOOP II.</t>
  </si>
  <si>
    <t xml:space="preserve">Posibilidad de afectación econónica y reputacional debido a sanciones de entes de control debido a indebida constitución de garantias </t>
  </si>
  <si>
    <t xml:space="preserve">Posibilidad de efctación económica y reputacional por sanciones debido al incumplimientos a informes de ley </t>
  </si>
  <si>
    <t xml:space="preserve">Posibilidad de afectación economica y reputacional por el debido ejercicio de la supervisión </t>
  </si>
  <si>
    <t xml:space="preserve">Posibilidad de afectación economica y reputacional por el incumplimiento reglamento interno de cartera, debido al atrazo del cargue de la resolución sanción la cual debe estar cargada el día 31 despues de imponer el comparendo por parte de las inspecciones  </t>
  </si>
  <si>
    <t xml:space="preserve">Posibilidad de afectación economica y reputacional por sanciones de los entes de control debido a la ausencia de gestión para garatizar las efectiviades del cobro </t>
  </si>
  <si>
    <t>Posibilidad de afectación reputacional por  pérdida de la información física (deterioro) de los documentos que reposan en el archivo central por un insuficiente desarrollo de las actividades descritas en el Sistema Integrado de Conservación documental (SIC) de la DTB y llos mecanismos de seguridad para salvaguardar la infromación</t>
  </si>
  <si>
    <t>Economico y Reputacional</t>
  </si>
  <si>
    <t>Posibilidad de afectación economica y reputacional por posible infromación erronea de los bienes debido al error en la  digitación.</t>
  </si>
  <si>
    <t>Econimoc y Reputacional</t>
  </si>
  <si>
    <t>Posibilidad de afectación económica y reputacional por sanciones debido al incumplimiento al plan educativo de seguridad vial</t>
  </si>
  <si>
    <t xml:space="preserve">Posibilidad de afectación reputacional por la instruir en la normativiadad que no corresponde,  debido a falta de planeación del contenido del curso </t>
  </si>
  <si>
    <t xml:space="preserve">Posibilidad de afectación económica y reputacional por perdida de la acreditación como organismo de inspección, por el desconocimiento normativo por parte del jefe de la oficina asesora CDA, debido a ausencia de competencias de formación de inspectores y el no aseguramiento de los recursos para el mantenimiento y calibración de equipos. 
</t>
  </si>
  <si>
    <t>Posibilidad de afectación reputacional por sanciones disiciplinaris debido a respuestas extemporáneas a las PQRSD presentadas por la Ciudadanía y Entes externos.</t>
  </si>
  <si>
    <t>Posibilidad de afectación reputacional por publicación erronea de información en las redes sociales de la Dirección de Tránsito de Bucaramanga, debido al acceso no autorizado a las cuentas institucionales y/o ausencia del antivirus en los equipos utilizados para el manejo de redes sociales, generando incongruencias y riesgo de pérdida de información</t>
  </si>
  <si>
    <t xml:space="preserve">Probabilidad de afectación economica y reputacional por sanciones de entes de control, debido  Falta de depuración y prescripciones de oficio de inventarios con incidencia en los estados financieros </t>
  </si>
  <si>
    <r>
      <rPr>
        <sz val="11"/>
        <color indexed="8"/>
        <rFont val="Arial Narrow"/>
        <family val="2"/>
      </rPr>
      <t>Posibilidad de afectación economica y reputacional por afectaciones presupuestales, debido al cumplimiento de la planeación del pagó</t>
    </r>
    <r>
      <rPr>
        <sz val="11"/>
        <color indexed="10"/>
        <rFont val="Arial Narrow"/>
        <family val="2"/>
      </rPr>
      <t xml:space="preserve">
</t>
    </r>
  </si>
  <si>
    <t xml:space="preserve">Posibilidad economica y reputacional debido al incumplimiento en los Informes de Ley </t>
  </si>
  <si>
    <t xml:space="preserve">Posibilidad de afetación econimica y reputacional por perdida de demanda debido a la inasistencia a las audiencias, falta de seguimiento y control </t>
  </si>
  <si>
    <t>Posibilidad de afetación economica y reputacional por sanciones debido al incumplimientos al trámite de tutales.</t>
  </si>
  <si>
    <t>Posibilidad de afectación economico y reputacional por  errores jurídicos, debido a la proyección y/o revisión de actos administrativos por ausencia de personal con experciencia en el tema y/o tiempos limitados para cumplir con las actividades.</t>
  </si>
  <si>
    <t xml:space="preserve">Posibilidad de afectación económica y reputacional por sanciones de los entes de control debido al incumplimiento en el cargue de la información de los informes de Ley </t>
  </si>
  <si>
    <t>Posibilidad de afectación reputacional por perdida de credibilidad y confianza de la ciudadania debido a la autorizacion de PMT fuera de los requisitos  establecidos.</t>
  </si>
  <si>
    <t>Económica y Reputacional</t>
  </si>
  <si>
    <t xml:space="preserve">Posibilidad de afectación económica y reputacional por demandas, debido a la no instalación  o demarcar señalización errada y/o falta de mantenimiento </t>
  </si>
  <si>
    <t>Posibilidad de afectación económico y reputacional por sanciones debido a la perdida de cintas holográficas y sustratos para la impresión de licencias de conducción.</t>
  </si>
  <si>
    <t>Posibilidad de afectación económica y reputacional por generar retrasos en los proceso, debido a la  culminación de la vida últil de los equipos de licencias de condución y agotamiento de los insumos para la impresión de las licencias y la indebida proyección para la vigencia.</t>
  </si>
  <si>
    <t xml:space="preserve">Posibilidad de afectación reputacional por respuesta extemporaneas a los usuarios, debido a la falta de contratación de personal </t>
  </si>
  <si>
    <t>Posibilidad de afectación económica y reputacional por perdida de la  certificado del sistema de gestión de calidad y ambiental, debido al incumplimiento de los requisitos del Sistema de gestión de calidad y ambiental debido a la falta, desconocimiento o negligencia de los colaboradores sobre los procedimientos y/o programas establecidos en el Sistema integrado de gestión de calidad y ambiental.</t>
  </si>
  <si>
    <t xml:space="preserve">Posibilidad de afectación reputacional por incumplimiento al Plan de Bienestar, debido a la falta de seguimiento en cada vigencia </t>
  </si>
  <si>
    <t xml:space="preserve">Incumplimiento al Plan de Bienestar  </t>
  </si>
  <si>
    <t xml:space="preserve">Falta de seguimiento al plan de binestar para la vigencia  </t>
  </si>
  <si>
    <t>Posibilidad de afectación económica y reputacional por la  pérdida económica por queja, reclamo, tutela o demanda del usuario o ente regulador debido  a inconsistencias en la emisión de la certificación electrónica de tiempos laborados (CETIL).</t>
  </si>
  <si>
    <t xml:space="preserve"> debido  a inconsistencias en la emisión de la certificación electrónica de tiempos laborados (CETIL).</t>
  </si>
  <si>
    <t xml:space="preserve">Falta de no instalación  o demarcarcación  señalización errada y/o falta de mantenimiento </t>
  </si>
  <si>
    <t>afectación económica y reputacional por demandas</t>
  </si>
  <si>
    <t>Pérdida de material, debido al  vencimiento del mismo (pintura vencida)</t>
  </si>
  <si>
    <t>Posibilidad de afectación económica y reputacional por la pérdida de material, debido al  vencimiento del mismo (pintura vencida)</t>
  </si>
  <si>
    <t>Pérdida de material</t>
  </si>
  <si>
    <t xml:space="preserve">Posibilidad de afectación reputacional por la inconformidad de los usuarios, debido a no contar con un punto fisico de orientación e información  oportuna de los trámites de la DTB  </t>
  </si>
  <si>
    <t>inconformidad de los usuarios</t>
  </si>
  <si>
    <t xml:space="preserve">Falta de no contar con un punto físico de orientación e información  oportuna de los trámites de la DTB  </t>
  </si>
  <si>
    <t>Respuesta extemporáneas a los usuarios,</t>
  </si>
  <si>
    <t xml:space="preserve">falta de contratación de personal </t>
  </si>
  <si>
    <t>Falta de autorización de los Planes de Manejo de Tráfico - PMT fuera de los requisitos  establecidos.</t>
  </si>
  <si>
    <t xml:space="preserve">Posibilidad económica y reputacional por pagó de interesese de mora, debido al incumplimiento de la fechas </t>
  </si>
  <si>
    <t xml:space="preserve">Pagos de Intereses </t>
  </si>
  <si>
    <t>Respuestas extemporáneas</t>
  </si>
  <si>
    <t>Respuestas extemporáneas a las PQRSD presentadas por la ciudadanía y entes externos.</t>
  </si>
  <si>
    <t>Posibilidad de afectación económica y reputacional  por la expedición erronea de las tarjetas de propiedad de vehículos o certificados sobre los vehículos a los usuarios con errores en la información de su contenido, por inconsistencias en plataforma Runt y sistema misional de la entidad.</t>
  </si>
  <si>
    <t>expedición erronea de las tarjetas de propiedad de vehículos o certificados sobre los vehículos a los usuarios con errores en la información de su contenido, por inconsistencias en plataforma Runt y sistema misional de la entidad.</t>
  </si>
  <si>
    <t>Inconsistencias en plataforma Runt y sistema misional de la entidad.</t>
  </si>
  <si>
    <t>Ausencia del antivirus en los equipos utilizados para el manejo de redes sociales, generando incongruencias y riesgo de pérdida de información</t>
  </si>
  <si>
    <t>información erronea en las redes sociales de la Dirección de Tránsito de Bucaramanga,</t>
  </si>
  <si>
    <t xml:space="preserve">SERVICIO AL CIUDADANO </t>
  </si>
  <si>
    <t>SERVICIO AL CIUDADANO</t>
  </si>
  <si>
    <t>SERVICIO AL CUIDADANO</t>
  </si>
  <si>
    <t>MAPA DE RIESGOS INSTITUCIONAL - VIGENCIA 2025</t>
  </si>
  <si>
    <t>Disminucion en la prestacion de soporte técnico a todas las dependiencias y usuarios internos de la entidad.</t>
  </si>
  <si>
    <t xml:space="preserve">*Falta de compromiso por parte de los contratistas.                                                                                                                                                                                                                             Sanciones por parte de los entes de control 
</t>
  </si>
  <si>
    <t>Plan de Auditoria Interna 2025</t>
  </si>
  <si>
    <t>Plan de trabajo SIG 2025</t>
  </si>
  <si>
    <t xml:space="preserve">alta </t>
  </si>
  <si>
    <t>Licencias enviará un memorando a dirección general con copia a sistemas y contratación, requiriendo las necesidades para continuar con el proceso, ya que se están agotando las existencias de la vigencia pasada, año 2025</t>
  </si>
  <si>
    <t xml:space="preserve">El líder de la Oficina de servicio al ciudadano, debe solicitar al área encargada la adecuación del espacio fisico y el peersonal para atender a los usuarios 
</t>
  </si>
  <si>
    <t xml:space="preserve">El líder de la oficina de servicio al ciudadano solicita al área pertinente, por medio de circulares informativas, dar respuesta oportuna a las PQRS próximas a vencer.
</t>
  </si>
  <si>
    <t xml:space="preserve">Posibilidad de afectación reputacional por la imposibilidad de consulta de información debido a desorganización de las tablas de retención documental </t>
  </si>
  <si>
    <t>Informe de la actividades de la jornadas de limpieza, fumigaciones y mantenimiento que se realizan en el archivo central.</t>
  </si>
  <si>
    <t>El Comandante realiza informe de programación de operativos de las acciones adelantadas o asignación de actividades de control en vía</t>
  </si>
  <si>
    <t>El Comandante realiza la priorización del personal disponible conforme a las actividades de gestión en vía programadas mediante las solicitudes.</t>
  </si>
  <si>
    <t>Posibilidad de afectación economica y reputacional, por prescripció de comparendo debido a : Falta de porcedimiento, Desconcomiento de la norma y acciones disciplinarias.</t>
  </si>
  <si>
    <t>El agente de transito, revisa que se aplique el procedimiento establecido por control vial de acuerdo a lo norma correspodnientes.</t>
  </si>
  <si>
    <t>Actualizar la versión de herramienta de PQRS y ventanilla única a la versión más resiente con el fin de generar los resportes de forma automáticas.
El jefe de la oficina asesora de sistemas realizará 2 capacitaciones en el 2025 a su equipo de trabajo para dar una respuesta oportuna, y clara a las PQRSD asiganas por el área de atención al ciudadano, entregando acta y listado de asistencia.</t>
  </si>
  <si>
    <t>* Tener un presupuesto asignado para la  vigencia 2025  con la prioridad en las capacitaciones requeridas.
* Llevar el control de todas la capacitaciones realizadas.</t>
  </si>
  <si>
    <t xml:space="preserve">Se presenta informe cuatrimestral de los arreglos locativos del edificio de la DTB, detallando la intervención a realizar el cumplimiento y avances realizados. </t>
  </si>
  <si>
    <t xml:space="preserve">La lider de proceso realiza el informe de las actividades realizadas de los procesos con la aplicación de las tablas de retención documental de la DTB y la ley de archivo  </t>
  </si>
  <si>
    <t xml:space="preserve">El lider de proceso presenta la información de los ingresos y egresos del inventario del almacen, asi como las entradas y salidas mensuales del inventario de lo existente en la DTB. </t>
  </si>
  <si>
    <t>Realizar  mesas de trabajo durante la vigencia 2025, con el fin de conocer el avance de cumplimiento al Programa Anual de Auditoría y tomar las medidas necesarias para llegar a su cabal cumplimiento.</t>
  </si>
  <si>
    <t xml:space="preserve">Primer Monitoreo: No se presenta avances </t>
  </si>
  <si>
    <t xml:space="preserve">La lata dirección revisa el reporte de la infromación para la rendición a los entes de control y demás entidades del nivel Nacional, Departamental y Territorial.a cargo de cada una de las áreas en rendir los informes de Ley que se requieran.  </t>
  </si>
  <si>
    <t>lider del proceso (Sec General)</t>
  </si>
  <si>
    <t>lider del proceso (SST)</t>
  </si>
  <si>
    <t>lider del proceso (Archivo)</t>
  </si>
  <si>
    <t>8.0</t>
  </si>
  <si>
    <t>8.1</t>
  </si>
  <si>
    <r>
      <t xml:space="preserve">Primer Monitoreo: Se presenta las reiteraciones que se realizaron por parte de la oficina de resgitro automotor, a la dirección general, secretaria general , sistemas, contratación y Financiera. Corre enviado el 31 de marzo de 2025 con anexos Memorando No 077 y orreo de solicitud del mes de diciembre y anexos de memorando desdeel año 2022, reiteración neuvamente en correo del 01 de abril de 2025, donde se solicita la mesa de trabajo. 
</t>
    </r>
    <r>
      <rPr>
        <b/>
        <sz val="11"/>
        <color indexed="8"/>
        <rFont val="Arial Narrow"/>
        <family val="2"/>
      </rPr>
      <t xml:space="preserve">Segundo Monitorio Corte 30 junio:
</t>
    </r>
    <r>
      <rPr>
        <sz val="11"/>
        <color indexed="8"/>
        <rFont val="Arial Narrow"/>
        <family val="2"/>
      </rPr>
      <t>1.La desactualización de la plataforma Runt y del sistema misional de la entidad riesgo inminente en la veracidad de la información, sin embargo en la oficina de Registro Automor  se adelanta diariamente desde la mesa de ayuda y junto la oficina de Runt mediante actos administrativos actualizando y depurando la información respaldando con carpeta fisica y registro de matricula de los vehiculos. Se presentar ante la alta Dirección  alternativas a traves de la mesa de ayuda el día 10/06/2025 con asunto Base de Datos, participantes</t>
    </r>
  </si>
  <si>
    <r>
      <t xml:space="preserve">Pirmer  Monitoreo: No presenta avances 
</t>
    </r>
    <r>
      <rPr>
        <b/>
        <sz val="11"/>
        <color indexed="8"/>
        <rFont val="Arial Narrow"/>
        <family val="2"/>
      </rPr>
      <t>Segundo Monitorio Corte Agosto:</t>
    </r>
    <r>
      <rPr>
        <sz val="11"/>
        <color indexed="8"/>
        <rFont val="Arial Narrow"/>
        <family val="2"/>
      </rPr>
      <t xml:space="preserve">
</t>
    </r>
    <r>
      <rPr>
        <sz val="11"/>
        <color theme="1"/>
        <rFont val="Arial Narrow"/>
        <family val="2"/>
      </rPr>
      <t>1. FT JC 004 ACTA DE INICIO DEL CONTRATO. Se prento aleatoreamente la aplicación dele mismo, para tener un mejor control de los contratos.</t>
    </r>
  </si>
  <si>
    <r>
      <t xml:space="preserve">Primer Monitoreo: Se presenta por parte del lider de proceso informe de gestión mes a mes, consolidado del inventario mes a mes y evidencias del control del almacen de los meses de (enero a abril de 2025)
</t>
    </r>
    <r>
      <rPr>
        <b/>
        <sz val="11"/>
        <color indexed="8"/>
        <rFont val="Arial Narrow"/>
        <family val="2"/>
      </rPr>
      <t>Segundo Monitorio Corte agosto:</t>
    </r>
    <r>
      <rPr>
        <sz val="11"/>
        <color indexed="8"/>
        <rFont val="Arial Narrow"/>
        <family val="2"/>
      </rPr>
      <t xml:space="preserve">
1.  Se presenta informe de gestión y consolidado de bienes de consumo (conciliacion de cierre contable del inventario) mes a mes de la Oficina Almacén e Inventarios.</t>
    </r>
    <r>
      <rPr>
        <sz val="11"/>
        <color indexed="49"/>
        <rFont val="Arial Narrow"/>
        <family val="2"/>
      </rPr>
      <t xml:space="preserve"> </t>
    </r>
  </si>
  <si>
    <r>
      <t xml:space="preserve">Pirmer  Monitoreo: No presenta avances
</t>
    </r>
    <r>
      <rPr>
        <b/>
        <sz val="11"/>
        <color theme="1"/>
        <rFont val="Arial Narrow"/>
        <family val="2"/>
      </rPr>
      <t xml:space="preserve">
Segundo Monitorio Corte agosto:
</t>
    </r>
    <r>
      <rPr>
        <sz val="11"/>
        <color theme="1"/>
        <rFont val="Arial Narrow"/>
        <family val="2"/>
      </rPr>
      <t>1.Capacitaciones a supervisores 
2. CAPACITACIONES CAPACITACION ASPECTOS PRECONTRACTUALES 20-08-2025</t>
    </r>
  </si>
  <si>
    <r>
      <t xml:space="preserve">Pirmer  Monitoreo: No presenta avances 
</t>
    </r>
    <r>
      <rPr>
        <b/>
        <sz val="11"/>
        <color theme="1"/>
        <rFont val="Arial Narrow"/>
        <family val="2"/>
      </rPr>
      <t xml:space="preserve">Segundo Monitorio Corte agosto:
</t>
    </r>
    <r>
      <rPr>
        <sz val="11"/>
        <color theme="1"/>
        <rFont val="Arial Narrow"/>
        <family val="2"/>
      </rPr>
      <t>1. Se presenta cuadro Contratación 
2. Capacitación a personal proceso de contratación</t>
    </r>
  </si>
  <si>
    <r>
      <t xml:space="preserve">Primer  Monitoreo: No presenta avances 
</t>
    </r>
    <r>
      <rPr>
        <b/>
        <sz val="11"/>
        <color indexed="8"/>
        <rFont val="Arial Narrow"/>
        <family val="2"/>
      </rPr>
      <t xml:space="preserve">Segundo Monitorio Corte agosto:
1. </t>
    </r>
    <r>
      <rPr>
        <sz val="11"/>
        <color indexed="8"/>
        <rFont val="Arial Narrow"/>
        <family val="2"/>
      </rPr>
      <t>Se presenta la actualizacion del procedimiento de inspección de vehiculos SISTEMA CI2-SICOP, asegurando que se cumpla la norma.
2. Actualiación del software del CDA, se evidencia en el contrato 250-2025.
3. Presentan evidencia de correos donde se solicita la realizacion del proyecto de calibraciones de equipos. No se cuenta aun con recursos. (ultimo 8 de julio)</t>
    </r>
    <r>
      <rPr>
        <b/>
        <sz val="11"/>
        <color indexed="8"/>
        <rFont val="Arial Narrow"/>
        <family val="2"/>
      </rPr>
      <t xml:space="preserve">
</t>
    </r>
  </si>
  <si>
    <r>
      <rPr>
        <b/>
        <sz val="11"/>
        <color theme="1"/>
        <rFont val="Arial Narrow"/>
        <family val="2"/>
      </rPr>
      <t>Segundo Monitorio Corte agosto:</t>
    </r>
    <r>
      <rPr>
        <sz val="11"/>
        <color theme="1"/>
        <rFont val="Arial Narrow"/>
        <family val="2"/>
      </rPr>
      <t xml:space="preserve">
1. Presentación donde se evidencia Actualización Curso según la normativdad legal vigente.</t>
    </r>
  </si>
  <si>
    <r>
      <rPr>
        <b/>
        <sz val="11"/>
        <color indexed="8"/>
        <rFont val="Arial Narrow"/>
        <family val="2"/>
      </rPr>
      <t>Segundo Monitorio Corte  agosto:</t>
    </r>
    <r>
      <rPr>
        <sz val="11"/>
        <color indexed="8"/>
        <rFont val="Arial Narrow"/>
        <family val="2"/>
      </rPr>
      <t xml:space="preserve">
</t>
    </r>
    <r>
      <rPr>
        <sz val="11"/>
        <color theme="1"/>
        <rFont val="Arial Narrow"/>
        <family val="2"/>
      </rPr>
      <t>1. Se adjunta indicador de gestión
2. Se presenta cronogramas de planes educativos de seguridad vial para los meses de ju</t>
    </r>
  </si>
  <si>
    <r>
      <t xml:space="preserve">Primer  Monitoreo: Se presenta avances por parte del líder de proceso de el registro en el formato FT-GADM-056 de los meses de (Enero,febrero, marzo y abril de 2025)
</t>
    </r>
    <r>
      <rPr>
        <b/>
        <sz val="11"/>
        <color theme="1"/>
        <rFont val="Arial Narrow"/>
        <family val="2"/>
      </rPr>
      <t>Segundo Monitorio Corte agosto:</t>
    </r>
    <r>
      <rPr>
        <sz val="11"/>
        <color theme="1"/>
        <rFont val="Arial Narrow"/>
        <family val="2"/>
      </rPr>
      <t xml:space="preserve">
1. Se presenta  formato FT-GADM-056 control de quejas y procesos control interno disciplinario actualizado hasta el 30 de agosto de 2025 como evidencia del seguimiento al mapa de riesgos</t>
    </r>
  </si>
  <si>
    <r>
      <t xml:space="preserve">Primer Monitoreo: Se presenta avaces por medio del Memorando No 63-2025 donde se relacionan las ordenes de servicio, programación de servicios e informe de actividades. 
</t>
    </r>
    <r>
      <rPr>
        <b/>
        <sz val="11"/>
        <color indexed="8"/>
        <rFont val="Arial Narrow"/>
        <family val="2"/>
      </rPr>
      <t>Segundo Monitorio Corte agosto:</t>
    </r>
    <r>
      <rPr>
        <sz val="11"/>
        <color indexed="8"/>
        <rFont val="Arial Narrow"/>
        <family val="2"/>
      </rPr>
      <t xml:space="preserve">
1. El comandante presenta todas las Ordenes de servicios mediante FT-CTRL-001 FORMATO ORDEN DE SERVICIOS donde se evidencia la programacion de operativoc adelantados y asignados.</t>
    </r>
  </si>
  <si>
    <r>
      <t xml:space="preserve">Primer Monitoreo: Se presentaa como avance las ordenes de servicio de los meses (enero,febrero, marzo y abril)
</t>
    </r>
    <r>
      <rPr>
        <b/>
        <sz val="11"/>
        <color indexed="8"/>
        <rFont val="Arial Narrow"/>
        <family val="2"/>
      </rPr>
      <t>Segundo Monitorio Corte  agosto:</t>
    </r>
    <r>
      <rPr>
        <sz val="11"/>
        <color indexed="8"/>
        <rFont val="Arial Narrow"/>
        <family val="2"/>
      </rPr>
      <t xml:space="preserve">
</t>
    </r>
    <r>
      <rPr>
        <sz val="11"/>
        <color theme="1"/>
        <rFont val="Arial Narrow"/>
        <family val="2"/>
      </rPr>
      <t>1. El comandante presentaa como avance las ordenes de servicio</t>
    </r>
    <r>
      <rPr>
        <sz val="11"/>
        <color indexed="62"/>
        <rFont val="Arial Narrow"/>
        <family val="2"/>
      </rPr>
      <t xml:space="preserve"> </t>
    </r>
  </si>
  <si>
    <r>
      <t xml:space="preserve">
</t>
    </r>
    <r>
      <rPr>
        <b/>
        <sz val="11"/>
        <color indexed="8"/>
        <rFont val="Arial Narrow"/>
        <family val="2"/>
      </rPr>
      <t>Segundo Monitorio Corte agosto:</t>
    </r>
    <r>
      <rPr>
        <sz val="11"/>
        <color indexed="8"/>
        <rFont val="Arial Narrow"/>
        <family val="2"/>
      </rPr>
      <t xml:space="preserve">
</t>
    </r>
    <r>
      <rPr>
        <sz val="11"/>
        <color theme="1"/>
        <rFont val="Arial Narrow"/>
        <family val="2"/>
      </rPr>
      <t>1. Se presenta   PR-CTRL-006 Procedimiento imposicion  ordenes de comparendo e informe unico de infraciones de transporte e ingresos y salida de patio v.12 (1).pdf (se debe actuualizar y revisar en parte normativa, administrativa)</t>
    </r>
    <r>
      <rPr>
        <sz val="11"/>
        <color indexed="62"/>
        <rFont val="Arial Narrow"/>
        <family val="2"/>
      </rPr>
      <t xml:space="preserve">
</t>
    </r>
  </si>
  <si>
    <r>
      <t xml:space="preserve">Primier Monitoreo: Se presenta las siguientes Resoluciones 181 / Por medio del cual se modifica el plan anualizado de caja PAC 1 de enero a 31 de diciembre de 2025. Resolución No 800/ Por medio del cual se adopta el plan anualizado de caja PAC. 1 de enero a 31 de diciembre de 2025, seguimiento al PAC de la vigencia 2025. 
</t>
    </r>
    <r>
      <rPr>
        <b/>
        <sz val="11"/>
        <color indexed="8"/>
        <rFont val="Arial Narrow"/>
        <family val="2"/>
      </rPr>
      <t>Segundo Monitorio Corte agosto:</t>
    </r>
    <r>
      <rPr>
        <sz val="11"/>
        <color indexed="62"/>
        <rFont val="Arial Narrow"/>
        <family val="2"/>
      </rPr>
      <t xml:space="preserve">
</t>
    </r>
    <r>
      <rPr>
        <sz val="11"/>
        <color indexed="8"/>
        <rFont val="Arial Narrow"/>
        <family val="2"/>
      </rPr>
      <t xml:space="preserve">1. Se anexa como soporte las resoluciónes de traslado y el Plan Anual de Caja (PAC) correspondiente.
PAC: 
1. RES 181 Por medio de la cual se modifica el Plan Anualizado de Caja -PAC de la Dirección de Tránsito de Bucaramanga vigencias fiscal del 1 de enero al 31 de diciembre de 20255.pdf
2. RES 800 POR MEDIO DE LA CUAL SE ADOPTA EL PLAN ANUALIZADO DE CAJA- PAC DE LA DIRECCION DE TRANSITO DE BUCARAMANGA VIGENCIA FISCAL DEL 1 DE ENERO AL 31 DE DCIEMBRE DE 2025.pdf
TRASLADOS PRESUPUESTALES:
1. RES 192 Por el cual se hacen unas modificaciones (Traslado presupuestal) al presupuesto de Gastos de Inversión de la DTB para la vigencia fiscal del 1 de enero al 31 de diciembre de 2025 (1).pdf 15 MAY
2. RES 253 Por la cual se hacen unas modificaciones (traslado de presupuestal) al presupuesto de gastos de Inversión de la Dirección de Transito de Bucaramanga para la vigencia fiscal del 1 de enero al 31 de d.pdf 15 MAY
3. RES 300 Por el cual se hacen unas modificaciones (traslado presupuestal) al presupuesto de gastos de inversion  de la Dirección de transito de Bucaramanga para la vigencia fiscal de 1 ene.pdf 12 JUN
4. RES 307 Por medio del cual se adicionan recuersos de trnsferencia municipal al presupuesto de ingresos y gastos de la direccion de transito de Bucaramanga para la vigencia fiscal del.pdf 17 JUN
5. RES 316 Por el cual se hace unas modificaciones (Traslado presupuestal) al presupuesto de Gastos de Inversión de la Dirección de Tránsito de Bucaramanga para la vigencia fiscal del 1 de enero al 31 de dicie.pdf 19 JUN
6. RES 367 TRASLADO PTAL 17 JUL
7. RES 388 TRASLADO PTAL 25 JUL
8. RES 429 TRASLADO PTAL 14 AGOSTO
</t>
    </r>
  </si>
  <si>
    <r>
      <t xml:space="preserve">Primier Monitoreo: Se presenta Acta de reunión del Comité de sostenibilidad contable del 7 de brero de 2025, donde se presenta el estudio de cartera, se presenta DIAGNOSTICO DE LA GESTIÓN DE CARTERA EN LAS VIGENCIAS 2013 AL 2024 DE LA DIRECCIÓN DE TRÁNSITO DE BUCARAMANGA, realizado en la vigencia 2025.
</t>
    </r>
    <r>
      <rPr>
        <b/>
        <sz val="11"/>
        <color indexed="8"/>
        <rFont val="Arial Narrow"/>
        <family val="2"/>
      </rPr>
      <t>Segundo Monitorio Corte agosto:</t>
    </r>
    <r>
      <rPr>
        <sz val="11"/>
        <color indexed="8"/>
        <rFont val="Arial Narrow"/>
        <family val="2"/>
      </rPr>
      <t xml:space="preserve">
1. Se s</t>
    </r>
    <r>
      <rPr>
        <sz val="11"/>
        <color theme="1"/>
        <rFont val="Arial Narrow"/>
        <family val="2"/>
      </rPr>
      <t xml:space="preserve">uscribió contrato con la empresa SC Consultorías S.A.S. para apoyar el cobro de cartera masiva en etapas persuasiva y coactiva. Se realizaron mesas de trabajo con las oficinas de Ejecuciones Fiscales, Financiera y Sistemas para depurar bases de datos. Se anexa soporte: actas de las mesas de trabajo y registro del contrato en SECOP.
2. Acta de incio del contraro 291-2025
3. Informe de gestión parcail sc consultoria JULIO
4. Paquete SC consultoria </t>
    </r>
  </si>
  <si>
    <r>
      <t xml:space="preserve">Primer Monitoreo: Se presenta avance por parte del líder de proceso de la actualización del procedimiento para pagos última versión de actualización septiembre de 2024. 
</t>
    </r>
    <r>
      <rPr>
        <b/>
        <sz val="11"/>
        <color indexed="8"/>
        <rFont val="Arial Narrow"/>
        <family val="2"/>
      </rPr>
      <t>Segundo Monitorio Corte agosto:</t>
    </r>
    <r>
      <rPr>
        <sz val="11"/>
        <color indexed="8"/>
        <rFont val="Arial Narrow"/>
        <family val="2"/>
      </rPr>
      <t xml:space="preserve">
1.Se anexa el procedimiento GFINA-005 PROCEDIMIENTO DE PAGOS
2. Planillas de asistencia a capacitaciones</t>
    </r>
  </si>
  <si>
    <r>
      <t xml:space="preserve">Primer Monitoreo: Se presenta avance por parte del líder de proceso con la contratación de dos personas Marly Andrea y Juan David Riaño para la gestión de cobro persuasivo y coactivo 
</t>
    </r>
    <r>
      <rPr>
        <b/>
        <sz val="11"/>
        <color indexed="8"/>
        <rFont val="Arial Narrow"/>
        <family val="2"/>
      </rPr>
      <t>Segundo Monitorio Corte agosto:</t>
    </r>
    <r>
      <rPr>
        <sz val="11"/>
        <color indexed="8"/>
        <rFont val="Arial Narrow"/>
        <family val="2"/>
      </rPr>
      <t xml:space="preserve">
1. En 2025 se gestionó el requerimiento de personal CPS para el área de cobro persuasivo. Desde febrero se cuenta con apoyo técnico, desde marzo con apoyo profesional y desde abril con apoyo técnico-jurídico. El 13 de mayo se comunicaron las necesidades de personal al Director General, y el 12 de junio se suscribió contrato con la empresa SC Consultorías S.A.S. para apoyar el recaudo de cartera.</t>
    </r>
  </si>
  <si>
    <r>
      <t xml:space="preserve">Primer Monitoreo. Se presenta avances por parte del líder de proceso de los informes entregados a la a la (Contraloria general de la nación, Municipio, Contraloria) Y cronograma de los informe que se deben presentar 
</t>
    </r>
    <r>
      <rPr>
        <b/>
        <sz val="11"/>
        <color indexed="8"/>
        <rFont val="Arial Narrow"/>
        <family val="2"/>
      </rPr>
      <t>Segundo Monitorio Corte agosto:</t>
    </r>
    <r>
      <rPr>
        <sz val="11"/>
        <color indexed="8"/>
        <rFont val="Arial Narrow"/>
        <family val="2"/>
      </rPr>
      <t xml:space="preserve">
1. Se presentan los informes dentro del término establecido. Se anexa soporte de los informes radicados ante los diferentes entes como lo son Contraloria general de la naciòn, munipio, contraloria.
2. Se adjunta cronograma DE INFORMES 2025 FINANCIERA 06-05-2024 (1).xlsx</t>
    </r>
  </si>
  <si>
    <r>
      <t xml:space="preserve">Primer Monitoreo: Se presenta avance por parte del líder de proceso presenta informe de enero a marzo resumen ejecutivo de los Planes de
Manejo de Tráfico (PMT) recibidos y gestionados por la Oficina de Planeamiento Vial de la
Dirección de Tránsito de Bucaramanga durante el primer trimestre del año 2025. Resumen de seguimiento en formato excel del los PMT recibidos de los meses de (enero, febrero, marzo y abril ) PQRS
</t>
    </r>
    <r>
      <rPr>
        <b/>
        <sz val="11"/>
        <color indexed="8"/>
        <rFont val="Arial Narrow"/>
        <family val="2"/>
      </rPr>
      <t>Segundo Monitorio Corte agosto:</t>
    </r>
    <r>
      <rPr>
        <sz val="11"/>
        <color indexed="8"/>
        <rFont val="Arial Narrow"/>
        <family val="2"/>
      </rPr>
      <t xml:space="preserve">
1. Como avance, el líder del proceso presenta informe ejecutivo de los Planes de Manejo de Tráfico (PMT) recibidos y gestionados por la Oficina de Planeamiento Vial. Se anexa también seguimiento en formato Excel de los PMT tramitados, incluyendo casos relacionados con PQRS.</t>
    </r>
  </si>
  <si>
    <r>
      <t xml:space="preserve">Primier Monitoreo: Se presenta consolidado de ausentismo de los meses de (enero y febrero 2025), presentan los siguientes memeorando No 014-2025 Febrero, No 105 de 2025 y No 106 de 2025, remisión de la incapacidades del área de talento humano al seguridad y salud en el trabajo.
</t>
    </r>
    <r>
      <rPr>
        <b/>
        <sz val="11"/>
        <color indexed="8"/>
        <rFont val="Arial Narrow"/>
        <family val="2"/>
      </rPr>
      <t>Segundo Monitorio Corte agosto:</t>
    </r>
    <r>
      <rPr>
        <sz val="11"/>
        <color indexed="8"/>
        <rFont val="Arial Narrow"/>
        <family val="2"/>
      </rPr>
      <t xml:space="preserve">
</t>
    </r>
    <r>
      <rPr>
        <sz val="11"/>
        <color theme="1"/>
        <rFont val="Arial Narrow"/>
        <family val="2"/>
      </rPr>
      <t>1. Se presenta consolidado de ausentismo de los meses de (enero y julio 2025),</t>
    </r>
  </si>
  <si>
    <r>
      <t xml:space="preserve">Primier Monitoreo: Se presenta informe de gestión del área de seguridad y salud en el trabajo de los meses de (Enero, Febrero, Marzo y Abril de 2025)
</t>
    </r>
    <r>
      <rPr>
        <b/>
        <sz val="11"/>
        <color indexed="8"/>
        <rFont val="Arial Narrow"/>
        <family val="2"/>
      </rPr>
      <t xml:space="preserve">Segundo Monitorio Corte agosto:
</t>
    </r>
    <r>
      <rPr>
        <sz val="11"/>
        <color indexed="8"/>
        <rFont val="Arial Narrow"/>
        <family val="2"/>
      </rPr>
      <t>1. SST remite el informe de gestión 1er semestre 2025, en el que se evidencian las actividades desarrolladas según el cronograma establecido en el plan de trabajo.
2. Plan de trabajo SG-SST</t>
    </r>
  </si>
  <si>
    <r>
      <t xml:space="preserve">Primer Monitoreo: Se presenta por parte de la secretaría general el informe de las actividades del mantenimiento locativo para la DTB de los meses (Enero a Abril de 2025)
</t>
    </r>
    <r>
      <rPr>
        <b/>
        <sz val="11"/>
        <color theme="1"/>
        <rFont val="Arial Narrow"/>
        <family val="2"/>
      </rPr>
      <t xml:space="preserve">
Segundo Monitorio Corte agosto:
</t>
    </r>
    <r>
      <rPr>
        <sz val="11"/>
        <color theme="1"/>
        <rFont val="Arial Narrow"/>
        <family val="2"/>
      </rPr>
      <t xml:space="preserve">1. Informe de actividades de mantenimiento locativo </t>
    </r>
  </si>
  <si>
    <r>
      <t xml:space="preserve">Primer Monitoreo: Se presenta Informe por la lider de proceso donde B16:AK16ón técnica en la organización del archivo aplicando las tablas de retención documental
</t>
    </r>
    <r>
      <rPr>
        <b/>
        <sz val="11"/>
        <color theme="1"/>
        <rFont val="Arial Narrow"/>
        <family val="2"/>
      </rPr>
      <t>Segundo Monitorio Corte agosto:</t>
    </r>
    <r>
      <rPr>
        <sz val="11"/>
        <color theme="1"/>
        <rFont val="Arial Narrow"/>
        <family val="2"/>
      </rPr>
      <t xml:space="preserve">
1. Se realizaron asesorías a varias oficinas sobre organización documental según TRD. Se socializó la Circular 002-2025.
2.  Se llevó a cabo capacitación sobre normas archivísticas  con Talento Humano.</t>
    </r>
  </si>
  <si>
    <r>
      <t xml:space="preserve">Primer Monitoreo: Se presenta como avance por parte del lider de proceso el informe con las  jornadas de limpieza realizadas.
</t>
    </r>
    <r>
      <rPr>
        <b/>
        <sz val="11"/>
        <color indexed="8"/>
        <rFont val="Arial Narrow"/>
        <family val="2"/>
      </rPr>
      <t>Segundo Monitorio Corte agosto:</t>
    </r>
    <r>
      <rPr>
        <sz val="11"/>
        <color indexed="8"/>
        <rFont val="Arial Narrow"/>
        <family val="2"/>
      </rPr>
      <t xml:space="preserve">
Se presneta como evidencia: 
1. Plantilla de seguimiento limpieza y desinfeccion.
2. Correo de solicitud Jornada de fumigacion en los arcihivos de la DTB (27 mayo 2025)
3. Reprogramacion de la jornada de limpieza y desinfeccion para el 2do semestre</t>
    </r>
  </si>
  <si>
    <r>
      <t xml:space="preserve">Primer Monitoreo: No se presenta avances 
</t>
    </r>
    <r>
      <rPr>
        <b/>
        <sz val="11"/>
        <color indexed="8"/>
        <rFont val="Arial Narrow"/>
        <family val="2"/>
      </rPr>
      <t>Segundo Monitorio Corte agosto:</t>
    </r>
    <r>
      <rPr>
        <sz val="11"/>
        <color indexed="8"/>
        <rFont val="Arial Narrow"/>
        <family val="2"/>
      </rPr>
      <t xml:space="preserve">
1. Memorando 110-2025  Solicitud de recursos económicos para la adquisición de un Directorio Activo (Active
Directory) de la Dirección de Tránsito de Bucaramanga</t>
    </r>
  </si>
  <si>
    <r>
      <t xml:space="preserve">Primer Monitoreo: No se presenta avances 
</t>
    </r>
    <r>
      <rPr>
        <b/>
        <sz val="11"/>
        <color theme="1"/>
        <rFont val="Arial Narrow"/>
        <family val="2"/>
      </rPr>
      <t xml:space="preserve">Segundo Monitorio Corte agosto:
</t>
    </r>
    <r>
      <rPr>
        <sz val="11"/>
        <color theme="1"/>
        <rFont val="Arial Narrow"/>
        <family val="2"/>
      </rPr>
      <t>1. Se creó un formulario para el levantamiento de información, el cual será enviado por el Jefe de Sistemas con el fin de revisar cada proceso de la entidad y detectar problemáticas, así como proponer acciones de mejora. Esta actividad se enmarca dentro de lo dispuesto por la herramienta de autodiagnóstico del Ministerio de las TIC, la cual actualmente se encuentra en etapa de elaboración.
2. Capacitaciones en relacion a las politicas de seguridad de la informaición</t>
    </r>
  </si>
  <si>
    <r>
      <t xml:space="preserve">Primer Monitoreo: Se presenta un control de planillas de cintas y sustratos, entradas y salidas con los saldos exitentes. 
</t>
    </r>
    <r>
      <rPr>
        <b/>
        <sz val="11"/>
        <color theme="1"/>
        <rFont val="Arial Narrow"/>
        <family val="2"/>
      </rPr>
      <t xml:space="preserve">
Segundo Monitorio Corte  agosto:
</t>
    </r>
    <r>
      <rPr>
        <sz val="11"/>
        <color theme="1"/>
        <rFont val="Arial Narrow"/>
        <family val="2"/>
      </rPr>
      <t>1. La oficina presenta como evidencia el control de entradas y salidas de  cintasy susratos
2. Solicitud  seguridad para el resguardo de insumos de licencias de conduccion.</t>
    </r>
  </si>
  <si>
    <r>
      <t xml:space="preserve">Primer Monitoreo: Se presenta correo electronico enviado con la solicitud de los insumos a la oficina de sistemas, apoyo jurídico Envio de requerimiento de suministros del proceso de contratación cintas y sustratos de la vigencia 2025, fecha 17 de marzo de 2025.  
</t>
    </r>
    <r>
      <rPr>
        <b/>
        <sz val="11"/>
        <color theme="1"/>
        <rFont val="Arial Narrow"/>
        <family val="2"/>
      </rPr>
      <t>Segundo Monitorio Corte agosto:</t>
    </r>
    <r>
      <rPr>
        <sz val="11"/>
        <color theme="1"/>
        <rFont val="Arial Narrow"/>
        <family val="2"/>
      </rPr>
      <t xml:space="preserve">
1. Solicitud de inventario de insumos para impresión de licencias de conducción –Corte al 31 de agosto 2025
2.  Solicitud de inventario de insumos para impresión de licencias de conducción –Corte al 31 de agosto 2025</t>
    </r>
  </si>
  <si>
    <r>
      <t xml:space="preserve">Primer Monitoreo: Se presenta avance por parte del líder de proceso de las mejoras realizadas al área de Servicio al Ciudadano. 
</t>
    </r>
    <r>
      <rPr>
        <b/>
        <sz val="11"/>
        <color indexed="8"/>
        <rFont val="Arial Narrow"/>
        <family val="2"/>
      </rPr>
      <t>Segundo Monitorio Corte agosto:</t>
    </r>
    <r>
      <rPr>
        <sz val="11"/>
        <color indexed="8"/>
        <rFont val="Arial Narrow"/>
        <family val="2"/>
      </rPr>
      <t xml:space="preserve">
1. La Oficina de Servicio al Ciudadano presentó como evidencia del seguimiento semestral el cierre del Riesgo 43, mediante mejoras en infraestructura, adecuación de ventanilla exclusiva, fortalecimiento de la identidad del grupo y orientación a usuarios en el ingreso, todo documentado en el informe de gestión del segundo trimestre de 2025.</t>
    </r>
  </si>
  <si>
    <r>
      <t xml:space="preserve">Primer Monitoreo: Se presenta avance por parte del líde de proceso con los memorandos 004 2025, solicitando a sistemas la implentación de un sistema de PQRSD. Se presenta las siguientes circulares de seguimiento a las PDRSD. No 001 de febrero, No 005 de marzo y No006 de marzo de 2025. 
</t>
    </r>
    <r>
      <rPr>
        <b/>
        <sz val="11"/>
        <color indexed="8"/>
        <rFont val="Arial Narrow"/>
        <family val="2"/>
      </rPr>
      <t>Segundo Monitorio Corte agosto:</t>
    </r>
    <r>
      <rPr>
        <sz val="11"/>
        <color indexed="8"/>
        <rFont val="Arial Narrow"/>
        <family val="2"/>
      </rPr>
      <t xml:space="preserve">
1. La Oficina de Servicio al Ciudadano evidenció el seguimiento semestral del riesgo mediante la Circular 009-2025, reiterando a las dependencias la gestión de PQRSD y la necesidad de una solución tecnológica integral para mejorar trazabilidad, tiempos de respuesta y atención al ciudadano. (31 MAYO)</t>
    </r>
  </si>
  <si>
    <r>
      <t xml:space="preserve">Primer Monitoreo: Se presenta avance por parte del líder de proceso mediante memorando No 005 de 2025 y Circular No 007 de 2025, informe de satisfación por dependencia. 
</t>
    </r>
    <r>
      <rPr>
        <b/>
        <sz val="11"/>
        <color indexed="8"/>
        <rFont val="Arial Narrow"/>
        <family val="2"/>
      </rPr>
      <t>Segundo Monitorio Corte agosto:</t>
    </r>
    <r>
      <rPr>
        <sz val="11"/>
        <color indexed="8"/>
        <rFont val="Arial Narrow"/>
        <family val="2"/>
      </rPr>
      <t xml:space="preserve">
1. La Oficina de Servicio al Ciudadano presentó el envío de solicitud al Grupo de Talento Humano para gestionar capacitación en atención al ciudadano, y el informe de gestión del segundo trimestre con resultados de la medición de satisfacción a los usuarios.
2. Informe trimestral de gestion </t>
    </r>
  </si>
  <si>
    <r>
      <t xml:space="preserve">
</t>
    </r>
    <r>
      <rPr>
        <b/>
        <sz val="11"/>
        <color theme="1"/>
        <rFont val="Arial Narrow"/>
        <family val="2"/>
      </rPr>
      <t>Segundo Monitorio Corte agosto:</t>
    </r>
    <r>
      <rPr>
        <sz val="11"/>
        <color theme="1"/>
        <rFont val="Arial Narrow"/>
        <family val="2"/>
      </rPr>
      <t xml:space="preserve">
Se presente aavane de las evidencias por parte del Líder de proceso de los infrome enttregados al Concejo Municipal, Contraloria y Alcaldia de Bucaramanga </t>
    </r>
  </si>
  <si>
    <r>
      <t xml:space="preserve">Primer Monitoreo: No se presenta avances 
</t>
    </r>
    <r>
      <rPr>
        <b/>
        <sz val="11"/>
        <color indexed="8"/>
        <rFont val="Arial Narrow"/>
        <family val="2"/>
      </rPr>
      <t xml:space="preserve">
Segundo Monitorio Corte agosto:
</t>
    </r>
    <r>
      <rPr>
        <sz val="11"/>
        <color indexed="8"/>
        <rFont val="Arial Narrow"/>
        <family val="2"/>
      </rPr>
      <t>1. La oficina presenta pantallazos donde se evidencia el cambio de las contraseñas con una periodisidad mensual.</t>
    </r>
  </si>
  <si>
    <r>
      <t xml:space="preserve">Primer Monitoreo: Se presenta como avance el cronograma de las capacitaciones y binestar por parte del área de Talento Humano del periodo de (enero a abril de 2025)
</t>
    </r>
    <r>
      <rPr>
        <b/>
        <sz val="11"/>
        <color indexed="8"/>
        <rFont val="Arial Narrow"/>
        <family val="2"/>
      </rPr>
      <t xml:space="preserve">
Segundo Monitorio Corte agosto: 
</t>
    </r>
    <r>
      <rPr>
        <sz val="11"/>
        <color indexed="8"/>
        <rFont val="Arial Narrow"/>
        <family val="2"/>
      </rPr>
      <t xml:space="preserve">1. Se adjunta en archivo PDF el cumplimiento del Plan Institucional de Capacitación y Bienestar  correspondiente al Primer Semestre 2025.
2.Cronograma anual del programa de capacitaciones y bienestar.
</t>
    </r>
  </si>
  <si>
    <r>
      <t xml:space="preserve">Primer Monitoreo: Se presenta como avance por patte del área de Talento Humano un excel con la relación de las incapacidades (nombre, fechas, eps y valor reportado)
</t>
    </r>
    <r>
      <rPr>
        <b/>
        <sz val="11"/>
        <color indexed="8"/>
        <rFont val="Arial Narrow"/>
        <family val="2"/>
      </rPr>
      <t xml:space="preserve">Segundo Monitorio Corte agosto:
</t>
    </r>
    <r>
      <rPr>
        <sz val="11"/>
        <color indexed="8"/>
        <rFont val="Arial Narrow"/>
        <family val="2"/>
      </rPr>
      <t>1. La oficina presenta  archivo Excel  de Incapacidades periodo evaluado Primer Semestre de 2025.
2. Informe ejecutivo de incapacidades correspodinte con corte agosto.</t>
    </r>
  </si>
  <si>
    <r>
      <t xml:space="preserve">Primer Monitoreo: Se presenta como avance el formato código: FT-GADM-069 solicitud certificación de trámite talento humano.
</t>
    </r>
    <r>
      <rPr>
        <b/>
        <sz val="11"/>
        <color indexed="8"/>
        <rFont val="Arial Narrow"/>
        <family val="2"/>
      </rPr>
      <t>Segundo Monitorio Corte agosto:</t>
    </r>
    <r>
      <rPr>
        <sz val="11"/>
        <color indexed="8"/>
        <rFont val="Arial Narrow"/>
        <family val="2"/>
      </rPr>
      <t xml:space="preserve">
1. Se presenta protocolo actualizado para la emisión del Formulario Único Electrónico de Certificación de Tiempos Laborados – CETIL. (MA-GADM-004 MANUAL PARA LA PROVISION DE EMPLEOS Y CARGOS)</t>
    </r>
  </si>
  <si>
    <r>
      <t xml:space="preserve">Primer Monitoreo: No se presenta avances 
</t>
    </r>
    <r>
      <rPr>
        <b/>
        <sz val="11"/>
        <color theme="1"/>
        <rFont val="Arial Narrow"/>
        <family val="2"/>
      </rPr>
      <t xml:space="preserve">
Segundo Monitorio Corte agosto:
</t>
    </r>
    <r>
      <rPr>
        <sz val="11"/>
        <color theme="1"/>
        <rFont val="Arial Narrow"/>
        <family val="2"/>
      </rPr>
      <t>1. Solicitudes de mantenimiento proventivo, correctivo y/o servicios.</t>
    </r>
  </si>
  <si>
    <r>
      <t xml:space="preserve">Primer Monitoreo: No se presenta avances 
</t>
    </r>
    <r>
      <rPr>
        <b/>
        <sz val="11"/>
        <color theme="1"/>
        <rFont val="Arial Narrow"/>
        <family val="2"/>
      </rPr>
      <t>Segundo Monitorio Corte agosto:</t>
    </r>
    <r>
      <rPr>
        <sz val="11"/>
        <color theme="1"/>
        <rFont val="Arial Narrow"/>
        <family val="2"/>
      </rPr>
      <t xml:space="preserve">
No se presenta avances </t>
    </r>
  </si>
  <si>
    <r>
      <t xml:space="preserve">Primer Monitoreo: Se presenta avance por parte del líder de proceso de traslado de expedientes
</t>
    </r>
    <r>
      <rPr>
        <b/>
        <sz val="11"/>
        <color indexed="8"/>
        <rFont val="Arial Narrow"/>
        <family val="2"/>
      </rPr>
      <t>Segundo Monitorio Corte agosto:</t>
    </r>
    <r>
      <rPr>
        <sz val="11"/>
        <color indexed="8"/>
        <rFont val="Arial Narrow"/>
        <family val="2"/>
      </rPr>
      <t xml:space="preserve">
1. Elaboración y ejecución del  cronograma de vencimientos para la vigencia de 2025, con el fin de evitar la prescripción de las obligaciones por cobrar (Se adjunta)</t>
    </r>
  </si>
  <si>
    <r>
      <t xml:space="preserve">Primer Monitoreo: Se presenta avance por parte del líder del proceso de la relación del control de procesos judiciales del los meses (enero,febrero, marzo y abril)
</t>
    </r>
    <r>
      <rPr>
        <b/>
        <sz val="11"/>
        <color theme="1"/>
        <rFont val="Arial Narrow"/>
        <family val="2"/>
      </rPr>
      <t xml:space="preserve">
Segundo Monitorio Corte agosto:
</t>
    </r>
    <r>
      <rPr>
        <sz val="11"/>
        <color theme="1"/>
        <rFont val="Arial Narrow"/>
        <family val="2"/>
      </rPr>
      <t>1. Relacion del control de procesos judiciales mes a mes</t>
    </r>
  </si>
  <si>
    <r>
      <t xml:space="preserve">Primer Monitoreo: Se presenta avances por parte del líder del proceso la relación del seguimiento a las tutelas. (Enero, febrero, marzo y abril)
</t>
    </r>
    <r>
      <rPr>
        <b/>
        <sz val="11"/>
        <color theme="1"/>
        <rFont val="Arial Narrow"/>
        <family val="2"/>
      </rPr>
      <t>Segundo Monitorio Corte agosto:</t>
    </r>
    <r>
      <rPr>
        <sz val="11"/>
        <color theme="1"/>
        <rFont val="Arial Narrow"/>
        <family val="2"/>
      </rPr>
      <t xml:space="preserve">
1. Relacion del control de  tutelas mes a mes</t>
    </r>
  </si>
  <si>
    <r>
      <t xml:space="preserve">Primier Monitoreo: No presenta avance 
</t>
    </r>
    <r>
      <rPr>
        <b/>
        <sz val="11"/>
        <color indexed="8"/>
        <rFont val="Arial Narrow"/>
        <family val="2"/>
      </rPr>
      <t xml:space="preserve">Segundo Monitorio Corte agosto:
</t>
    </r>
    <r>
      <rPr>
        <sz val="11"/>
        <color indexed="8"/>
        <rFont val="Arial Narrow"/>
        <family val="2"/>
      </rPr>
      <t>1. Se emite circular N 001 del 2025 del 20 de mayo donde de relaciona tiempos de respuesta por parte de la oficina depenediento cada uno de los actos adminsitrativos</t>
    </r>
  </si>
  <si>
    <r>
      <t xml:space="preserve">Pirmer  Monitoreo: No presenta avances 
</t>
    </r>
    <r>
      <rPr>
        <b/>
        <sz val="11"/>
        <color indexed="8"/>
        <rFont val="Arial Narrow"/>
        <family val="2"/>
      </rPr>
      <t xml:space="preserve">
Segundo Monitorio Corte agosto:
</t>
    </r>
    <r>
      <rPr>
        <sz val="11"/>
        <color rgb="FF000000"/>
        <rFont val="Arial Narrow"/>
        <family val="2"/>
      </rPr>
      <t>1. Evidencia de  publicaciones en el la plataforma del SECOP II en tiempo adecaudo.</t>
    </r>
  </si>
  <si>
    <r>
      <t xml:space="preserve">Primer Monitoreo: Se presenta avances por parte del líder de proceso se realiza informe de seguimiento donde presenta las acciones adelantadas desde la oficina de señalización
</t>
    </r>
    <r>
      <rPr>
        <b/>
        <sz val="11"/>
        <color indexed="8"/>
        <rFont val="Arial Narrow"/>
        <family val="2"/>
      </rPr>
      <t>Segundo Monitorio Corte agosto:</t>
    </r>
    <r>
      <rPr>
        <sz val="11"/>
        <color indexed="62"/>
        <rFont val="Arial Narrow"/>
        <family val="2"/>
      </rPr>
      <t xml:space="preserve">
</t>
    </r>
    <r>
      <rPr>
        <sz val="11"/>
        <color indexed="8"/>
        <rFont val="Arial Narrow"/>
        <family val="2"/>
      </rPr>
      <t>1. Se presenta avance del primer semestre por parte del líder del proceso, mediante informes diarios consolidados mes a mes sobre las acciones adelantadas en el municipio en termino de señalizacion vial</t>
    </r>
    <r>
      <rPr>
        <sz val="11"/>
        <color indexed="62"/>
        <rFont val="Arial Narrow"/>
        <family val="2"/>
      </rPr>
      <t>.</t>
    </r>
  </si>
  <si>
    <r>
      <t xml:space="preserve">Primer Monitoreo: Se presenta avances por parte del líder de proceso se realiza informe de seguimiento donde presenta las acciones adelantadas desde la oficina de señalización
</t>
    </r>
    <r>
      <rPr>
        <b/>
        <sz val="11"/>
        <color indexed="8"/>
        <rFont val="Arial Narrow"/>
        <family val="2"/>
      </rPr>
      <t>Segundo Monitorio Corte agosto:</t>
    </r>
    <r>
      <rPr>
        <sz val="11"/>
        <color indexed="8"/>
        <rFont val="Arial Narrow"/>
        <family val="2"/>
      </rPr>
      <t xml:space="preserve">
La oficina presenta el informe de seguimiento del inventario de la bodega de materiales y el control mensual que se hace</t>
    </r>
  </si>
  <si>
    <r>
      <t xml:space="preserve">Primer Monitoreo: No se presenta avances 
</t>
    </r>
    <r>
      <rPr>
        <b/>
        <sz val="11"/>
        <color theme="1"/>
        <rFont val="Arial Narrow"/>
        <family val="2"/>
      </rPr>
      <t>Segundo Monitorio Corte agosto:</t>
    </r>
    <r>
      <rPr>
        <sz val="11"/>
        <color theme="1"/>
        <rFont val="Arial Narrow"/>
        <family val="2"/>
      </rPr>
      <t xml:space="preserve">
1. Acciones de sencibilizacion ambiental</t>
    </r>
  </si>
  <si>
    <r>
      <t xml:space="preserve">Primer Monitoreo: No se presenta avances 
</t>
    </r>
    <r>
      <rPr>
        <b/>
        <sz val="11"/>
        <color theme="1"/>
        <rFont val="Arial Narrow"/>
        <family val="2"/>
      </rPr>
      <t>Segundo Monitorio Corte agosto:</t>
    </r>
    <r>
      <rPr>
        <sz val="11"/>
        <color theme="1"/>
        <rFont val="Arial Narrow"/>
        <family val="2"/>
      </rPr>
      <t xml:space="preserve">
1. Plan de auditorias 2025</t>
    </r>
  </si>
  <si>
    <r>
      <t xml:space="preserve">Primer Monitoreo: No se presenta avances 
</t>
    </r>
    <r>
      <rPr>
        <b/>
        <sz val="11"/>
        <color theme="1"/>
        <rFont val="Arial Narrow"/>
        <family val="2"/>
      </rPr>
      <t>Segundo Monitorio Corte agosto:</t>
    </r>
    <r>
      <rPr>
        <sz val="11"/>
        <color theme="1"/>
        <rFont val="Arial Narrow"/>
        <family val="2"/>
      </rPr>
      <t xml:space="preserve">
1.Seguimiento indicadores y mesas de trabajo</t>
    </r>
  </si>
  <si>
    <r>
      <t xml:space="preserve">Primer Monitoreo: No se presenta avances
</t>
    </r>
    <r>
      <rPr>
        <b/>
        <sz val="11"/>
        <color theme="1"/>
        <rFont val="Arial Narrow"/>
        <family val="2"/>
      </rPr>
      <t>Segundo Monitorio Corte agosto:</t>
    </r>
    <r>
      <rPr>
        <sz val="11"/>
        <color theme="1"/>
        <rFont val="Arial Narrow"/>
        <family val="2"/>
      </rPr>
      <t xml:space="preserve">
1.Seguimiento indicadores y mesas de trabajo</t>
    </r>
  </si>
  <si>
    <r>
      <t xml:space="preserve">Primer Monitoreo: Se presenta avances por parte del lider de proceso presenta el tablero de control actualizado a la vigencia 2025 y el acta de reunión del 8 de abirl de 2025, mesa de trabajo seguimiento al pla anual de auditorías de la vigencia 2025.
</t>
    </r>
    <r>
      <rPr>
        <b/>
        <sz val="11"/>
        <color theme="1"/>
        <rFont val="Arial Narrow"/>
        <family val="2"/>
      </rPr>
      <t xml:space="preserve">
Segundo Monitorio Corte 30 junio:
</t>
    </r>
    <r>
      <rPr>
        <sz val="11"/>
        <color theme="1"/>
        <rFont val="Arial Narrow"/>
        <family val="2"/>
      </rPr>
      <t>1.Se presenta avances por parte del lider de proceso presenta el tablero de control actualizado a la vigencia 2025</t>
    </r>
  </si>
  <si>
    <t xml:space="preserve">Ausencia de herramienta de control </t>
  </si>
  <si>
    <t>Posibilidad de afectación reputacional por incumplimiento al plan de acción por la ausencia de herramientas de control.</t>
  </si>
  <si>
    <t>El jefe de la Ofcina Asesora de Planeación, verifica el cumplimiento de los avances de los compromisos propuesto en el Plan de Acción de la Vigencia 2024-2027, apartir de un tablero de control</t>
  </si>
  <si>
    <r>
      <rPr>
        <b/>
        <sz val="11"/>
        <color theme="1"/>
        <rFont val="Arial Narrow"/>
        <family val="2"/>
      </rPr>
      <t>Segundo Monitorio Corte agosto:</t>
    </r>
    <r>
      <rPr>
        <sz val="11"/>
        <color theme="1"/>
        <rFont val="Arial Narrow"/>
        <family val="2"/>
      </rPr>
      <t xml:space="preserve">
Se presenta por parte del líder de proceso el tablero de control donde se relacionan los avances reportados por los lideres de proceso en el Plan de Acción Vigencia 2024-2027. 
Adicional se incluye informe estadistico solializado en el comite de gestion y desempeño.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</si>
</sst>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78" x14ac:knownFonts="1">
    <font>
      <sz val="11"/>
      <color theme="1"/>
      <name val="Calibri"/>
      <family val="2"/>
      <scheme val="minor"/>
    </font>
    <font>
      <sz val="11"/>
      <color indexed="8"/>
      <name val="Arial Narrow"/>
      <family val="2"/>
    </font>
    <font>
      <sz val="11"/>
      <name val="Arial Narrow"/>
      <family val="2"/>
    </font>
    <font>
      <b/>
      <sz val="11"/>
      <color indexed="53"/>
      <name val="Arial Narrow"/>
      <family val="2"/>
    </font>
    <font>
      <sz val="18"/>
      <name val="Arial"/>
      <family val="2"/>
    </font>
    <font>
      <sz val="24"/>
      <name val="Arial"/>
      <family val="2"/>
    </font>
    <font>
      <sz val="12"/>
      <color indexed="8"/>
      <name val="Arial Narrow"/>
      <family val="2"/>
    </font>
    <font>
      <b/>
      <sz val="12"/>
      <color indexed="8"/>
      <name val="Arial Narrow"/>
      <family val="2"/>
    </font>
    <font>
      <b/>
      <sz val="12"/>
      <color indexed="53"/>
      <name val="Arial Narrow"/>
      <family val="2"/>
    </font>
    <font>
      <b/>
      <sz val="12"/>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indexed="53"/>
      <name val="Arial Narrow"/>
      <family val="2"/>
    </font>
    <font>
      <b/>
      <sz val="10"/>
      <color indexed="53"/>
      <name val="Arial Narrow"/>
      <family val="2"/>
    </font>
    <font>
      <sz val="11"/>
      <color indexed="10"/>
      <name val="Arial Narrow"/>
      <family val="2"/>
    </font>
    <font>
      <sz val="11"/>
      <color indexed="8"/>
      <name val="Arial Narrow"/>
      <family val="2"/>
    </font>
    <font>
      <sz val="8"/>
      <name val="Arial"/>
      <family val="2"/>
    </font>
    <font>
      <b/>
      <sz val="11"/>
      <color indexed="8"/>
      <name val="Arial Narrow"/>
      <family val="2"/>
    </font>
    <font>
      <sz val="11"/>
      <color indexed="49"/>
      <name val="Arial Narrow"/>
      <family val="2"/>
    </font>
    <font>
      <sz val="11"/>
      <color indexed="62"/>
      <name val="Arial Narrow"/>
      <family val="2"/>
    </font>
    <font>
      <sz val="11"/>
      <color theme="1"/>
      <name val="Calibri"/>
      <family val="2"/>
      <scheme val="minor"/>
    </font>
    <font>
      <sz val="11"/>
      <color theme="0"/>
      <name val="Calibri"/>
      <family val="2"/>
      <scheme val="minor"/>
    </font>
    <font>
      <sz val="10"/>
      <color theme="1"/>
      <name val="Calibri"/>
      <family val="2"/>
      <scheme val="minor"/>
    </font>
    <font>
      <sz val="11"/>
      <color rgb="FFFF0000"/>
      <name val="Calibri"/>
      <family val="2"/>
      <scheme val="minor"/>
    </font>
    <font>
      <sz val="11"/>
      <color theme="1"/>
      <name val="Arial Narrow"/>
      <family val="2"/>
    </font>
    <font>
      <b/>
      <sz val="11"/>
      <color theme="1"/>
      <name val="Arial Narrow"/>
      <family val="2"/>
    </font>
    <font>
      <sz val="10"/>
      <color rgb="FF000000"/>
      <name val="Arial Narrow"/>
      <family val="2"/>
    </font>
    <font>
      <b/>
      <sz val="20"/>
      <color rgb="FF000000"/>
      <name val="Arial Narrow"/>
      <family val="2"/>
    </font>
    <font>
      <sz val="20"/>
      <color rgb="FF000000"/>
      <name val="Arial Narrow"/>
      <family val="2"/>
    </font>
    <font>
      <sz val="20"/>
      <color rgb="FFFFFFFF"/>
      <name val="Arial Narrow"/>
      <family val="2"/>
    </font>
    <font>
      <sz val="11"/>
      <name val="Calibri"/>
      <family val="2"/>
      <scheme val="minor"/>
    </font>
    <font>
      <sz val="16"/>
      <color rgb="FFFF0000"/>
      <name val="Arial Narrow"/>
      <family val="2"/>
    </font>
    <font>
      <sz val="16"/>
      <color rgb="FFFF0000"/>
      <name val="Calibri"/>
      <family val="2"/>
      <scheme val="minor"/>
    </font>
    <font>
      <sz val="16"/>
      <color rgb="FF000000"/>
      <name val="Arial Narrow"/>
      <family val="2"/>
    </font>
    <font>
      <sz val="11"/>
      <color rgb="FF030303"/>
      <name val="Arial"/>
      <family val="2"/>
    </font>
    <font>
      <b/>
      <sz val="24"/>
      <color rgb="FF000000"/>
      <name val="Arial Narrow"/>
      <family val="2"/>
    </font>
    <font>
      <sz val="26"/>
      <color rgb="FF000000"/>
      <name val="Arial Narrow"/>
      <family val="2"/>
    </font>
    <font>
      <sz val="26"/>
      <color rgb="FFFFFFFF"/>
      <name val="Arial Narrow"/>
      <family val="2"/>
    </font>
    <font>
      <b/>
      <sz val="12"/>
      <color rgb="FF000000"/>
      <name val="Calibri"/>
      <family val="2"/>
    </font>
    <font>
      <b/>
      <sz val="18"/>
      <color rgb="FF000000"/>
      <name val="Calibri"/>
      <family val="2"/>
    </font>
    <font>
      <sz val="16"/>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9"/>
      <color theme="1"/>
      <name val="Arial Narrow"/>
      <family val="2"/>
    </font>
    <font>
      <b/>
      <sz val="22"/>
      <color theme="1"/>
      <name val="Arial Narrow"/>
      <family val="2"/>
    </font>
    <font>
      <sz val="9"/>
      <color theme="1"/>
      <name val="Arial"/>
      <family val="2"/>
    </font>
    <font>
      <b/>
      <sz val="11"/>
      <color theme="1"/>
      <name val="Arial"/>
      <family val="2"/>
    </font>
    <font>
      <sz val="8"/>
      <color theme="1"/>
      <name val="Arial"/>
      <family val="2"/>
    </font>
    <font>
      <b/>
      <sz val="8"/>
      <color theme="1"/>
      <name val="Arial"/>
      <family val="2"/>
    </font>
    <font>
      <sz val="11"/>
      <color theme="1"/>
      <name val="Arial"/>
      <family val="2"/>
    </font>
    <font>
      <sz val="10"/>
      <color rgb="FF000000"/>
      <name val="Arial"/>
      <family val="2"/>
    </font>
    <font>
      <sz val="10"/>
      <color theme="1"/>
      <name val="Arial Narrow"/>
      <family val="2"/>
    </font>
    <font>
      <sz val="12"/>
      <color rgb="FF222222"/>
      <name val="Arial"/>
      <family val="2"/>
    </font>
    <font>
      <sz val="11"/>
      <color theme="2" tint="-0.89999084444715716"/>
      <name val="Arial Narrow"/>
      <family val="2"/>
    </font>
    <font>
      <sz val="11"/>
      <color rgb="FFFF0000"/>
      <name val="Arial Narrow"/>
      <family val="2"/>
    </font>
    <font>
      <b/>
      <sz val="14"/>
      <color theme="1"/>
      <name val="Arial Narrow"/>
      <family val="2"/>
    </font>
    <font>
      <i/>
      <sz val="9"/>
      <color theme="1"/>
      <name val="Arial"/>
      <family val="2"/>
    </font>
    <font>
      <b/>
      <sz val="40"/>
      <color rgb="FF000000"/>
      <name val="Calibri"/>
      <family val="2"/>
    </font>
    <font>
      <b/>
      <sz val="36"/>
      <color rgb="FF000000"/>
      <name val="Calibri"/>
      <family val="2"/>
    </font>
    <font>
      <sz val="28"/>
      <color theme="1"/>
      <name val="Calibri"/>
      <family val="2"/>
      <scheme val="minor"/>
    </font>
    <font>
      <b/>
      <sz val="28"/>
      <color rgb="FF000000"/>
      <name val="Calibri"/>
      <family val="2"/>
    </font>
    <font>
      <b/>
      <sz val="24"/>
      <color rgb="FF000000"/>
      <name val="Calibri"/>
      <family val="2"/>
    </font>
    <font>
      <b/>
      <sz val="20"/>
      <color theme="1"/>
      <name val="Calibri"/>
      <family val="2"/>
      <scheme val="minor"/>
    </font>
    <font>
      <sz val="24"/>
      <color theme="1"/>
      <name val="Arial Narrow"/>
      <family val="2"/>
    </font>
    <font>
      <sz val="18"/>
      <color theme="1"/>
      <name val="Arial Narrow"/>
      <family val="2"/>
    </font>
    <font>
      <b/>
      <sz val="18"/>
      <color theme="1"/>
      <name val="Arial Narrow"/>
      <family val="2"/>
    </font>
    <font>
      <b/>
      <sz val="26"/>
      <color theme="1"/>
      <name val="Arial Narrow"/>
      <family val="2"/>
    </font>
    <font>
      <b/>
      <sz val="14"/>
      <color rgb="FF000000"/>
      <name val="Arial Narrow"/>
      <family val="2"/>
    </font>
    <font>
      <sz val="12"/>
      <color theme="1"/>
      <name val="Arial Narrow"/>
      <family val="2"/>
    </font>
    <font>
      <sz val="11"/>
      <color rgb="FF000000"/>
      <name val="Arial Narrow"/>
      <family val="2"/>
    </font>
  </fonts>
  <fills count="18">
    <fill>
      <patternFill patternType="none"/>
    </fill>
    <fill>
      <patternFill patternType="gray125"/>
    </fill>
    <fill>
      <patternFill patternType="solid">
        <fgColor theme="9"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D9D9D9"/>
        <bgColor indexed="64"/>
      </patternFill>
    </fill>
  </fills>
  <borders count="9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dashed">
        <color theme="9" tint="-0.24994659260841701"/>
      </left>
      <right style="dashed">
        <color theme="9" tint="-0.24994659260841701"/>
      </right>
      <top/>
      <bottom style="dashed">
        <color theme="9" tint="-0.24994659260841701"/>
      </bottom>
      <diagonal/>
    </border>
    <border>
      <left style="thin">
        <color theme="9"/>
      </left>
      <right style="thin">
        <color theme="9"/>
      </right>
      <top style="thin">
        <color theme="9"/>
      </top>
      <bottom style="thin">
        <color theme="9"/>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left>
      <right style="thin">
        <color theme="9"/>
      </right>
      <top/>
      <bottom style="thin">
        <color theme="9"/>
      </bottom>
      <diagonal/>
    </border>
    <border>
      <left style="thin">
        <color theme="9"/>
      </left>
      <right style="thin">
        <color theme="9"/>
      </right>
      <top/>
      <bottom/>
      <diagonal/>
    </border>
    <border>
      <left style="thin">
        <color theme="9"/>
      </left>
      <right style="thin">
        <color theme="9"/>
      </right>
      <top style="thin">
        <color theme="9"/>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right style="thin">
        <color rgb="FFFF9900"/>
      </right>
      <top style="thin">
        <color rgb="FFFF9900"/>
      </top>
      <bottom style="thin">
        <color rgb="FFFF9900"/>
      </bottom>
      <diagonal/>
    </border>
    <border>
      <left style="thin">
        <color theme="9"/>
      </left>
      <right style="thin">
        <color theme="9"/>
      </right>
      <top style="thin">
        <color rgb="FFFF9900"/>
      </top>
      <bottom style="thin">
        <color theme="9"/>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style="thin">
        <color theme="9" tint="-0.24994659260841701"/>
      </left>
      <right style="thin">
        <color indexed="64"/>
      </right>
      <top style="thin">
        <color theme="9" tint="-0.24994659260841701"/>
      </top>
      <bottom style="thin">
        <color theme="9" tint="-0.24994659260841701"/>
      </bottom>
      <diagonal/>
    </border>
    <border>
      <left style="thin">
        <color indexed="64"/>
      </left>
      <right style="thin">
        <color indexed="64"/>
      </right>
      <top style="thin">
        <color theme="9" tint="-0.24994659260841701"/>
      </top>
      <bottom style="thin">
        <color theme="9" tint="-0.24994659260841701"/>
      </bottom>
      <diagonal/>
    </border>
    <border>
      <left style="thin">
        <color indexed="64"/>
      </left>
      <right style="thin">
        <color theme="9" tint="-0.24994659260841701"/>
      </right>
      <top style="thin">
        <color theme="9" tint="-0.24994659260841701"/>
      </top>
      <bottom style="thin">
        <color theme="9" tint="-0.24994659260841701"/>
      </bottom>
      <diagonal/>
    </border>
    <border>
      <left/>
      <right style="thin">
        <color theme="9"/>
      </right>
      <top style="thin">
        <color theme="9"/>
      </top>
      <bottom/>
      <diagonal/>
    </border>
    <border>
      <left/>
      <right style="thin">
        <color theme="9"/>
      </right>
      <top/>
      <bottom/>
      <diagonal/>
    </border>
    <border>
      <left/>
      <right style="thin">
        <color theme="9"/>
      </right>
      <top/>
      <bottom style="thin">
        <color theme="9"/>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theme="9" tint="-0.249977111117893"/>
      </left>
      <right style="thin">
        <color theme="9"/>
      </right>
      <top style="thin">
        <color theme="9"/>
      </top>
      <bottom/>
      <diagonal/>
    </border>
    <border>
      <left style="thin">
        <color theme="9" tint="-0.249977111117893"/>
      </left>
      <right style="thin">
        <color theme="9"/>
      </right>
      <top/>
      <bottom/>
      <diagonal/>
    </border>
    <border>
      <left style="thin">
        <color theme="9" tint="-0.249977111117893"/>
      </left>
      <right style="thin">
        <color theme="9"/>
      </right>
      <top/>
      <bottom style="thin">
        <color theme="9"/>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6">
    <xf numFmtId="0" fontId="0" fillId="0" borderId="0"/>
    <xf numFmtId="43" fontId="27" fillId="0" borderId="0" applyFont="0" applyFill="0" applyBorder="0" applyAlignment="0" applyProtection="0"/>
    <xf numFmtId="0" fontId="10" fillId="0" borderId="0"/>
    <xf numFmtId="0" fontId="29" fillId="0" borderId="0"/>
    <xf numFmtId="0" fontId="11" fillId="0" borderId="0"/>
    <xf numFmtId="9" fontId="27" fillId="0" borderId="0" applyFont="0" applyFill="0" applyBorder="0" applyAlignment="0" applyProtection="0"/>
  </cellStyleXfs>
  <cellXfs count="455">
    <xf numFmtId="0" fontId="0" fillId="0" borderId="0" xfId="0"/>
    <xf numFmtId="0" fontId="31" fillId="0" borderId="0" xfId="0" applyFont="1" applyAlignment="1">
      <alignment horizontal="center" vertical="center"/>
    </xf>
    <xf numFmtId="0" fontId="32" fillId="2" borderId="0" xfId="0" applyFont="1" applyFill="1" applyAlignment="1">
      <alignment horizontal="center" vertical="center"/>
    </xf>
    <xf numFmtId="0" fontId="29" fillId="0" borderId="0" xfId="0" applyFont="1"/>
    <xf numFmtId="0" fontId="33" fillId="0" borderId="52" xfId="0" applyFont="1" applyBorder="1" applyAlignment="1">
      <alignment horizontal="left" vertical="center" wrapText="1" indent="1" readingOrder="1"/>
    </xf>
    <xf numFmtId="0" fontId="4" fillId="0" borderId="0" xfId="0" applyFont="1" applyAlignment="1">
      <alignment horizontal="center" vertical="center" wrapText="1"/>
    </xf>
    <xf numFmtId="0" fontId="34" fillId="3" borderId="0" xfId="0" applyFont="1" applyFill="1" applyAlignment="1">
      <alignment horizontal="center" vertical="center" wrapText="1" readingOrder="1"/>
    </xf>
    <xf numFmtId="0" fontId="35" fillId="4" borderId="53" xfId="0" applyFont="1" applyFill="1" applyBorder="1" applyAlignment="1">
      <alignment horizontal="center" vertical="center" wrapText="1" readingOrder="1"/>
    </xf>
    <xf numFmtId="0" fontId="35" fillId="0" borderId="53" xfId="0" applyFont="1" applyBorder="1" applyAlignment="1">
      <alignment horizontal="justify" vertical="center" wrapText="1" readingOrder="1"/>
    </xf>
    <xf numFmtId="9" fontId="35" fillId="0" borderId="53" xfId="0" applyNumberFormat="1" applyFont="1" applyBorder="1" applyAlignment="1">
      <alignment horizontal="center" vertical="center" wrapText="1" readingOrder="1"/>
    </xf>
    <xf numFmtId="0" fontId="35" fillId="5" borderId="52" xfId="0" applyFont="1" applyFill="1" applyBorder="1" applyAlignment="1">
      <alignment horizontal="center" vertical="center" wrapText="1" readingOrder="1"/>
    </xf>
    <xf numFmtId="0" fontId="35" fillId="0" borderId="52" xfId="0" applyFont="1" applyBorder="1" applyAlignment="1">
      <alignment horizontal="justify" vertical="center" wrapText="1" readingOrder="1"/>
    </xf>
    <xf numFmtId="9" fontId="35" fillId="0" borderId="52" xfId="0" applyNumberFormat="1" applyFont="1" applyBorder="1" applyAlignment="1">
      <alignment horizontal="center" vertical="center" wrapText="1" readingOrder="1"/>
    </xf>
    <xf numFmtId="0" fontId="35" fillId="6" borderId="52" xfId="0" applyFont="1" applyFill="1" applyBorder="1" applyAlignment="1">
      <alignment horizontal="center" vertical="center" wrapText="1" readingOrder="1"/>
    </xf>
    <xf numFmtId="0" fontId="35" fillId="7" borderId="52" xfId="0" applyFont="1" applyFill="1" applyBorder="1" applyAlignment="1">
      <alignment horizontal="center" vertical="center" wrapText="1" readingOrder="1"/>
    </xf>
    <xf numFmtId="0" fontId="36" fillId="8" borderId="52" xfId="0" applyFont="1" applyFill="1" applyBorder="1" applyAlignment="1">
      <alignment horizontal="center" vertical="center" wrapText="1" readingOrder="1"/>
    </xf>
    <xf numFmtId="0" fontId="37" fillId="0" borderId="0" xfId="0" applyFont="1"/>
    <xf numFmtId="0" fontId="28" fillId="0" borderId="0" xfId="0" applyFont="1"/>
    <xf numFmtId="0" fontId="32" fillId="0" borderId="0" xfId="0" applyFont="1" applyAlignment="1">
      <alignment horizontal="left" vertical="center"/>
    </xf>
    <xf numFmtId="0" fontId="32" fillId="9" borderId="0" xfId="0" applyFont="1" applyFill="1" applyAlignment="1">
      <alignment horizontal="center" vertical="center"/>
    </xf>
    <xf numFmtId="0" fontId="31" fillId="9" borderId="0" xfId="0" applyFont="1" applyFill="1" applyAlignment="1">
      <alignment vertical="center"/>
    </xf>
    <xf numFmtId="0" fontId="38" fillId="0" borderId="0" xfId="0" applyFont="1" applyAlignment="1">
      <alignment vertical="center"/>
    </xf>
    <xf numFmtId="0" fontId="39" fillId="0" borderId="0" xfId="0" applyFont="1"/>
    <xf numFmtId="0" fontId="30" fillId="0" borderId="0" xfId="0" applyFont="1"/>
    <xf numFmtId="0" fontId="0" fillId="0" borderId="0" xfId="0" pivotButton="1"/>
    <xf numFmtId="0" fontId="40" fillId="0" borderId="0" xfId="0" applyFont="1" applyAlignment="1">
      <alignment horizontal="justify" vertical="center" wrapText="1" readingOrder="1"/>
    </xf>
    <xf numFmtId="0" fontId="41" fillId="0" borderId="0" xfId="0" applyFont="1"/>
    <xf numFmtId="0" fontId="42" fillId="3" borderId="0" xfId="0" applyFont="1" applyFill="1" applyAlignment="1">
      <alignment horizontal="center" vertical="center" wrapText="1" readingOrder="1"/>
    </xf>
    <xf numFmtId="0" fontId="43" fillId="0" borderId="53" xfId="0" applyFont="1" applyBorder="1" applyAlignment="1">
      <alignment horizontal="justify" vertical="center" wrapText="1" readingOrder="1"/>
    </xf>
    <xf numFmtId="0" fontId="43" fillId="0" borderId="52" xfId="0" applyFont="1" applyBorder="1" applyAlignment="1">
      <alignment horizontal="justify" vertical="center" wrapText="1" readingOrder="1"/>
    </xf>
    <xf numFmtId="0" fontId="43" fillId="4" borderId="53" xfId="0" applyFont="1" applyFill="1" applyBorder="1" applyAlignment="1">
      <alignment horizontal="center" vertical="center" wrapText="1" readingOrder="1"/>
    </xf>
    <xf numFmtId="0" fontId="43" fillId="5" borderId="52" xfId="0" applyFont="1" applyFill="1" applyBorder="1" applyAlignment="1">
      <alignment horizontal="center" vertical="center" wrapText="1" readingOrder="1"/>
    </xf>
    <xf numFmtId="0" fontId="43" fillId="6" borderId="52" xfId="0" applyFont="1" applyFill="1" applyBorder="1" applyAlignment="1">
      <alignment horizontal="center" vertical="center" wrapText="1" readingOrder="1"/>
    </xf>
    <xf numFmtId="0" fontId="43" fillId="7" borderId="52" xfId="0" applyFont="1" applyFill="1" applyBorder="1" applyAlignment="1">
      <alignment horizontal="center" vertical="center" wrapText="1" readingOrder="1"/>
    </xf>
    <xf numFmtId="0" fontId="44" fillId="8" borderId="52" xfId="0" applyFont="1" applyFill="1" applyBorder="1" applyAlignment="1">
      <alignment horizontal="center" vertical="center" wrapText="1" readingOrder="1"/>
    </xf>
    <xf numFmtId="0" fontId="43" fillId="0" borderId="53" xfId="0" applyFont="1" applyBorder="1" applyAlignment="1">
      <alignment horizontal="center" vertical="center" wrapText="1" readingOrder="1"/>
    </xf>
    <xf numFmtId="0" fontId="43" fillId="0" borderId="52" xfId="0" applyFont="1" applyBorder="1" applyAlignment="1">
      <alignment horizontal="center" vertical="center" wrapText="1" readingOrder="1"/>
    </xf>
    <xf numFmtId="0" fontId="45" fillId="10" borderId="1" xfId="0" applyFont="1" applyFill="1" applyBorder="1" applyAlignment="1" applyProtection="1">
      <alignment horizontal="center" vertical="center" wrapText="1" readingOrder="1"/>
      <protection hidden="1"/>
    </xf>
    <xf numFmtId="0" fontId="45" fillId="10" borderId="2" xfId="0" applyFont="1" applyFill="1" applyBorder="1" applyAlignment="1" applyProtection="1">
      <alignment horizontal="center" vertical="center" wrapText="1" readingOrder="1"/>
      <protection hidden="1"/>
    </xf>
    <xf numFmtId="0" fontId="45" fillId="10" borderId="3" xfId="0" applyFont="1" applyFill="1" applyBorder="1" applyAlignment="1" applyProtection="1">
      <alignment horizontal="center" vertical="center" wrapText="1" readingOrder="1"/>
      <protection hidden="1"/>
    </xf>
    <xf numFmtId="0" fontId="45" fillId="11" borderId="1" xfId="0" applyFont="1" applyFill="1" applyBorder="1" applyAlignment="1" applyProtection="1">
      <alignment horizontal="center" wrapText="1" readingOrder="1"/>
      <protection hidden="1"/>
    </xf>
    <xf numFmtId="0" fontId="45" fillId="11" borderId="2" xfId="0" applyFont="1" applyFill="1" applyBorder="1" applyAlignment="1" applyProtection="1">
      <alignment horizontal="center" wrapText="1" readingOrder="1"/>
      <protection hidden="1"/>
    </xf>
    <xf numFmtId="0" fontId="45" fillId="11" borderId="3" xfId="0" applyFont="1" applyFill="1" applyBorder="1" applyAlignment="1" applyProtection="1">
      <alignment horizontal="center" wrapText="1" readingOrder="1"/>
      <protection hidden="1"/>
    </xf>
    <xf numFmtId="0" fontId="45" fillId="10" borderId="4" xfId="0" applyFont="1" applyFill="1" applyBorder="1" applyAlignment="1" applyProtection="1">
      <alignment horizontal="center" vertical="center" wrapText="1" readingOrder="1"/>
      <protection hidden="1"/>
    </xf>
    <xf numFmtId="0" fontId="45" fillId="10" borderId="0" xfId="0" applyFont="1" applyFill="1" applyAlignment="1" applyProtection="1">
      <alignment horizontal="center" vertical="center" wrapText="1" readingOrder="1"/>
      <protection hidden="1"/>
    </xf>
    <xf numFmtId="0" fontId="45" fillId="10" borderId="5" xfId="0" applyFont="1" applyFill="1" applyBorder="1" applyAlignment="1" applyProtection="1">
      <alignment horizontal="center" vertical="center" wrapText="1" readingOrder="1"/>
      <protection hidden="1"/>
    </xf>
    <xf numFmtId="0" fontId="45" fillId="11" borderId="4" xfId="0" applyFont="1" applyFill="1" applyBorder="1" applyAlignment="1" applyProtection="1">
      <alignment horizontal="center" wrapText="1" readingOrder="1"/>
      <protection hidden="1"/>
    </xf>
    <xf numFmtId="0" fontId="45" fillId="11" borderId="0" xfId="0" applyFont="1" applyFill="1" applyAlignment="1" applyProtection="1">
      <alignment horizontal="center" wrapText="1" readingOrder="1"/>
      <protection hidden="1"/>
    </xf>
    <xf numFmtId="0" fontId="45" fillId="11" borderId="5" xfId="0" applyFont="1" applyFill="1" applyBorder="1" applyAlignment="1" applyProtection="1">
      <alignment horizontal="center" wrapText="1" readingOrder="1"/>
      <protection hidden="1"/>
    </xf>
    <xf numFmtId="0" fontId="45" fillId="10" borderId="6" xfId="0" applyFont="1" applyFill="1" applyBorder="1" applyAlignment="1" applyProtection="1">
      <alignment horizontal="center" vertical="center" wrapText="1" readingOrder="1"/>
      <protection hidden="1"/>
    </xf>
    <xf numFmtId="0" fontId="45" fillId="10" borderId="7" xfId="0" applyFont="1" applyFill="1" applyBorder="1" applyAlignment="1" applyProtection="1">
      <alignment horizontal="center" vertical="center" wrapText="1" readingOrder="1"/>
      <protection hidden="1"/>
    </xf>
    <xf numFmtId="0" fontId="45" fillId="10" borderId="8" xfId="0" applyFont="1" applyFill="1" applyBorder="1" applyAlignment="1" applyProtection="1">
      <alignment horizontal="center" vertical="center" wrapText="1" readingOrder="1"/>
      <protection hidden="1"/>
    </xf>
    <xf numFmtId="0" fontId="45" fillId="11" borderId="6" xfId="0" applyFont="1" applyFill="1" applyBorder="1" applyAlignment="1" applyProtection="1">
      <alignment horizontal="center" wrapText="1" readingOrder="1"/>
      <protection hidden="1"/>
    </xf>
    <xf numFmtId="0" fontId="45" fillId="11" borderId="7" xfId="0" applyFont="1" applyFill="1" applyBorder="1" applyAlignment="1" applyProtection="1">
      <alignment horizontal="center" wrapText="1" readingOrder="1"/>
      <protection hidden="1"/>
    </xf>
    <xf numFmtId="0" fontId="45" fillId="11" borderId="8" xfId="0" applyFont="1" applyFill="1" applyBorder="1" applyAlignment="1" applyProtection="1">
      <alignment horizontal="center" wrapText="1" readingOrder="1"/>
      <protection hidden="1"/>
    </xf>
    <xf numFmtId="0" fontId="45" fillId="12" borderId="1" xfId="0" applyFont="1" applyFill="1" applyBorder="1" applyAlignment="1" applyProtection="1">
      <alignment horizontal="center" wrapText="1" readingOrder="1"/>
      <protection hidden="1"/>
    </xf>
    <xf numFmtId="0" fontId="45" fillId="12" borderId="2" xfId="0" applyFont="1" applyFill="1" applyBorder="1" applyAlignment="1" applyProtection="1">
      <alignment horizontal="center" wrapText="1" readingOrder="1"/>
      <protection hidden="1"/>
    </xf>
    <xf numFmtId="0" fontId="45" fillId="12" borderId="3" xfId="0" applyFont="1" applyFill="1" applyBorder="1" applyAlignment="1" applyProtection="1">
      <alignment horizontal="center" wrapText="1" readingOrder="1"/>
      <protection hidden="1"/>
    </xf>
    <xf numFmtId="0" fontId="45" fillId="12" borderId="4" xfId="0" applyFont="1" applyFill="1" applyBorder="1" applyAlignment="1" applyProtection="1">
      <alignment horizontal="center" wrapText="1" readingOrder="1"/>
      <protection hidden="1"/>
    </xf>
    <xf numFmtId="0" fontId="45" fillId="12" borderId="0" xfId="0" applyFont="1" applyFill="1" applyAlignment="1" applyProtection="1">
      <alignment horizontal="center" wrapText="1" readingOrder="1"/>
      <protection hidden="1"/>
    </xf>
    <xf numFmtId="0" fontId="45" fillId="12" borderId="5" xfId="0" applyFont="1" applyFill="1" applyBorder="1" applyAlignment="1" applyProtection="1">
      <alignment horizontal="center" wrapText="1" readingOrder="1"/>
      <protection hidden="1"/>
    </xf>
    <xf numFmtId="0" fontId="45" fillId="12" borderId="6" xfId="0" applyFont="1" applyFill="1" applyBorder="1" applyAlignment="1" applyProtection="1">
      <alignment horizontal="center" wrapText="1" readingOrder="1"/>
      <protection hidden="1"/>
    </xf>
    <xf numFmtId="0" fontId="45" fillId="12" borderId="7" xfId="0" applyFont="1" applyFill="1" applyBorder="1" applyAlignment="1" applyProtection="1">
      <alignment horizontal="center" wrapText="1" readingOrder="1"/>
      <protection hidden="1"/>
    </xf>
    <xf numFmtId="0" fontId="45" fillId="12" borderId="8" xfId="0" applyFont="1" applyFill="1" applyBorder="1" applyAlignment="1" applyProtection="1">
      <alignment horizontal="center" wrapText="1" readingOrder="1"/>
      <protection hidden="1"/>
    </xf>
    <xf numFmtId="0" fontId="45" fillId="4" borderId="1" xfId="0" applyFont="1" applyFill="1" applyBorder="1" applyAlignment="1" applyProtection="1">
      <alignment horizontal="center" wrapText="1" readingOrder="1"/>
      <protection hidden="1"/>
    </xf>
    <xf numFmtId="0" fontId="45" fillId="4" borderId="2" xfId="0" applyFont="1" applyFill="1" applyBorder="1" applyAlignment="1" applyProtection="1">
      <alignment horizontal="center" wrapText="1" readingOrder="1"/>
      <protection hidden="1"/>
    </xf>
    <xf numFmtId="0" fontId="45" fillId="4" borderId="3" xfId="0" applyFont="1" applyFill="1" applyBorder="1" applyAlignment="1" applyProtection="1">
      <alignment horizontal="center" wrapText="1" readingOrder="1"/>
      <protection hidden="1"/>
    </xf>
    <xf numFmtId="0" fontId="45" fillId="4" borderId="4" xfId="0" applyFont="1" applyFill="1" applyBorder="1" applyAlignment="1" applyProtection="1">
      <alignment horizontal="center" wrapText="1" readingOrder="1"/>
      <protection hidden="1"/>
    </xf>
    <xf numFmtId="0" fontId="45" fillId="4" borderId="0" xfId="0" applyFont="1" applyFill="1" applyAlignment="1" applyProtection="1">
      <alignment horizontal="center" wrapText="1" readingOrder="1"/>
      <protection hidden="1"/>
    </xf>
    <xf numFmtId="0" fontId="45" fillId="4" borderId="5" xfId="0" applyFont="1" applyFill="1" applyBorder="1" applyAlignment="1" applyProtection="1">
      <alignment horizontal="center" wrapText="1" readingOrder="1"/>
      <protection hidden="1"/>
    </xf>
    <xf numFmtId="0" fontId="45" fillId="4" borderId="6" xfId="0" applyFont="1" applyFill="1" applyBorder="1" applyAlignment="1" applyProtection="1">
      <alignment horizontal="center" wrapText="1" readingOrder="1"/>
      <protection hidden="1"/>
    </xf>
    <xf numFmtId="0" fontId="45" fillId="4" borderId="7" xfId="0" applyFont="1" applyFill="1" applyBorder="1" applyAlignment="1" applyProtection="1">
      <alignment horizontal="center" wrapText="1" readingOrder="1"/>
      <protection hidden="1"/>
    </xf>
    <xf numFmtId="0" fontId="45" fillId="4" borderId="8" xfId="0" applyFont="1" applyFill="1" applyBorder="1" applyAlignment="1" applyProtection="1">
      <alignment horizontal="center" wrapText="1" readingOrder="1"/>
      <protection hidden="1"/>
    </xf>
    <xf numFmtId="0" fontId="46" fillId="12" borderId="2" xfId="0" applyFont="1" applyFill="1" applyBorder="1" applyAlignment="1" applyProtection="1">
      <alignment horizontal="center" wrapText="1" readingOrder="1"/>
      <protection hidden="1"/>
    </xf>
    <xf numFmtId="0" fontId="0" fillId="9" borderId="0" xfId="0" applyFill="1"/>
    <xf numFmtId="0" fontId="12" fillId="9" borderId="9" xfId="2" applyFont="1" applyFill="1" applyBorder="1"/>
    <xf numFmtId="0" fontId="12" fillId="9" borderId="10" xfId="2" applyFont="1" applyFill="1" applyBorder="1"/>
    <xf numFmtId="0" fontId="12" fillId="9" borderId="11" xfId="2" applyFont="1" applyFill="1" applyBorder="1"/>
    <xf numFmtId="0" fontId="47" fillId="9" borderId="0" xfId="0" applyFont="1" applyFill="1" applyAlignment="1">
      <alignment vertical="center"/>
    </xf>
    <xf numFmtId="0" fontId="29" fillId="9" borderId="0" xfId="0" applyFont="1" applyFill="1"/>
    <xf numFmtId="0" fontId="48" fillId="9" borderId="0" xfId="0" applyFont="1" applyFill="1"/>
    <xf numFmtId="0" fontId="49" fillId="9" borderId="12" xfId="0" applyFont="1" applyFill="1" applyBorder="1" applyAlignment="1">
      <alignment horizontal="center" vertical="center" wrapText="1" readingOrder="1"/>
    </xf>
    <xf numFmtId="0" fontId="50" fillId="9" borderId="12" xfId="0" applyFont="1" applyFill="1" applyBorder="1" applyAlignment="1">
      <alignment horizontal="justify" vertical="center" wrapText="1" readingOrder="1"/>
    </xf>
    <xf numFmtId="9" fontId="49" fillId="9" borderId="13" xfId="0" applyNumberFormat="1" applyFont="1" applyFill="1" applyBorder="1" applyAlignment="1">
      <alignment horizontal="center" vertical="center" wrapText="1" readingOrder="1"/>
    </xf>
    <xf numFmtId="0" fontId="49" fillId="9" borderId="14" xfId="0" applyFont="1" applyFill="1" applyBorder="1" applyAlignment="1">
      <alignment horizontal="center" vertical="center" wrapText="1" readingOrder="1"/>
    </xf>
    <xf numFmtId="0" fontId="50" fillId="9" borderId="14" xfId="0" applyFont="1" applyFill="1" applyBorder="1" applyAlignment="1">
      <alignment horizontal="justify" vertical="center" wrapText="1" readingOrder="1"/>
    </xf>
    <xf numFmtId="9" fontId="49" fillId="9" borderId="15" xfId="0" applyNumberFormat="1" applyFont="1" applyFill="1" applyBorder="1" applyAlignment="1">
      <alignment horizontal="center" vertical="center" wrapText="1" readingOrder="1"/>
    </xf>
    <xf numFmtId="0" fontId="50" fillId="9" borderId="15" xfId="0" applyFont="1" applyFill="1" applyBorder="1" applyAlignment="1">
      <alignment horizontal="center" vertical="center" wrapText="1" readingOrder="1"/>
    </xf>
    <xf numFmtId="0" fontId="49" fillId="9" borderId="16" xfId="0" applyFont="1" applyFill="1" applyBorder="1" applyAlignment="1">
      <alignment horizontal="center" vertical="center" wrapText="1" readingOrder="1"/>
    </xf>
    <xf numFmtId="0" fontId="50" fillId="9" borderId="16" xfId="0" applyFont="1" applyFill="1" applyBorder="1" applyAlignment="1">
      <alignment horizontal="justify" vertical="center" wrapText="1" readingOrder="1"/>
    </xf>
    <xf numFmtId="0" fontId="50" fillId="9" borderId="17" xfId="0" applyFont="1" applyFill="1" applyBorder="1" applyAlignment="1">
      <alignment horizontal="center" vertical="center" wrapText="1" readingOrder="1"/>
    </xf>
    <xf numFmtId="0" fontId="51" fillId="9" borderId="0" xfId="0" applyFont="1" applyFill="1"/>
    <xf numFmtId="0" fontId="49" fillId="13" borderId="18" xfId="0" applyFont="1" applyFill="1" applyBorder="1" applyAlignment="1">
      <alignment horizontal="center" vertical="center" wrapText="1" readingOrder="1"/>
    </xf>
    <xf numFmtId="0" fontId="49" fillId="13" borderId="19" xfId="0" applyFont="1" applyFill="1" applyBorder="1" applyAlignment="1">
      <alignment horizontal="center" vertical="center" wrapText="1" readingOrder="1"/>
    </xf>
    <xf numFmtId="0" fontId="28" fillId="9" borderId="0" xfId="0" applyFont="1" applyFill="1"/>
    <xf numFmtId="0" fontId="5" fillId="9" borderId="0" xfId="0" applyFont="1" applyFill="1" applyAlignment="1">
      <alignment horizontal="center" vertical="center" wrapText="1"/>
    </xf>
    <xf numFmtId="0" fontId="40" fillId="9" borderId="0" xfId="0" applyFont="1" applyFill="1" applyAlignment="1">
      <alignment horizontal="justify" vertical="center" wrapText="1" readingOrder="1"/>
    </xf>
    <xf numFmtId="0" fontId="32" fillId="9" borderId="0" xfId="0" applyFont="1" applyFill="1" applyAlignment="1">
      <alignment vertical="center"/>
    </xf>
    <xf numFmtId="0" fontId="37" fillId="9" borderId="0" xfId="0" applyFont="1" applyFill="1"/>
    <xf numFmtId="0" fontId="32" fillId="9" borderId="0" xfId="0" applyFont="1" applyFill="1" applyAlignment="1">
      <alignment horizontal="left" vertical="center"/>
    </xf>
    <xf numFmtId="0" fontId="12" fillId="9" borderId="4" xfId="2" applyFont="1" applyFill="1" applyBorder="1"/>
    <xf numFmtId="0" fontId="17" fillId="9" borderId="0" xfId="0" applyFont="1" applyFill="1" applyAlignment="1">
      <alignment horizontal="left" vertical="center" wrapText="1"/>
    </xf>
    <xf numFmtId="0" fontId="18" fillId="9" borderId="0" xfId="0" applyFont="1" applyFill="1" applyAlignment="1">
      <alignment horizontal="left" vertical="top" wrapText="1"/>
    </xf>
    <xf numFmtId="0" fontId="12" fillId="9" borderId="0" xfId="2" applyFont="1" applyFill="1"/>
    <xf numFmtId="0" fontId="12" fillId="9" borderId="5" xfId="2" applyFont="1" applyFill="1" applyBorder="1"/>
    <xf numFmtId="0" fontId="12" fillId="9" borderId="6" xfId="2" applyFont="1" applyFill="1" applyBorder="1"/>
    <xf numFmtId="0" fontId="12" fillId="9" borderId="7" xfId="2" applyFont="1" applyFill="1" applyBorder="1"/>
    <xf numFmtId="0" fontId="12" fillId="9" borderId="8" xfId="2" applyFont="1" applyFill="1" applyBorder="1"/>
    <xf numFmtId="0" fontId="16" fillId="9" borderId="0" xfId="2" applyFont="1" applyFill="1" applyAlignment="1">
      <alignment horizontal="left" vertical="center" wrapText="1"/>
    </xf>
    <xf numFmtId="0" fontId="12" fillId="9" borderId="0" xfId="2" applyFont="1" applyFill="1" applyAlignment="1">
      <alignment horizontal="left" vertical="center" wrapText="1"/>
    </xf>
    <xf numFmtId="0" fontId="12" fillId="9" borderId="0" xfId="2" quotePrefix="1" applyFont="1" applyFill="1" applyAlignment="1">
      <alignment horizontal="left" vertical="center" wrapText="1"/>
    </xf>
    <xf numFmtId="0" fontId="14" fillId="9" borderId="4" xfId="2" quotePrefix="1" applyFont="1" applyFill="1" applyBorder="1" applyAlignment="1">
      <alignment horizontal="left" vertical="top" wrapText="1"/>
    </xf>
    <xf numFmtId="0" fontId="15" fillId="9" borderId="0" xfId="2" quotePrefix="1" applyFont="1" applyFill="1" applyAlignment="1">
      <alignment horizontal="left" vertical="top" wrapText="1"/>
    </xf>
    <xf numFmtId="0" fontId="15" fillId="9" borderId="5" xfId="2" quotePrefix="1" applyFont="1" applyFill="1" applyBorder="1" applyAlignment="1">
      <alignment horizontal="left" vertical="top" wrapText="1"/>
    </xf>
    <xf numFmtId="0" fontId="31" fillId="0" borderId="54" xfId="0" applyFont="1" applyBorder="1" applyAlignment="1">
      <alignment horizontal="center" vertical="center"/>
    </xf>
    <xf numFmtId="0" fontId="52" fillId="0" borderId="0" xfId="0" applyFont="1" applyAlignment="1">
      <alignment horizontal="center" vertical="center"/>
    </xf>
    <xf numFmtId="0" fontId="53" fillId="0" borderId="14" xfId="0" applyFont="1" applyBorder="1" applyAlignment="1">
      <alignment horizontal="left" vertical="center" wrapText="1"/>
    </xf>
    <xf numFmtId="0" fontId="54" fillId="0" borderId="0" xfId="0" applyFont="1"/>
    <xf numFmtId="0" fontId="53" fillId="0" borderId="14" xfId="0" applyFont="1" applyBorder="1" applyAlignment="1">
      <alignment horizontal="left" vertical="center"/>
    </xf>
    <xf numFmtId="0" fontId="55" fillId="0" borderId="14" xfId="0" applyFont="1" applyBorder="1" applyAlignment="1">
      <alignment horizontal="center" vertical="center" wrapText="1"/>
    </xf>
    <xf numFmtId="0" fontId="56" fillId="0" borderId="0" xfId="0" applyFont="1"/>
    <xf numFmtId="49" fontId="23" fillId="0" borderId="14" xfId="0" applyNumberFormat="1" applyFont="1" applyBorder="1" applyAlignment="1">
      <alignment horizontal="center"/>
    </xf>
    <xf numFmtId="0" fontId="23" fillId="0" borderId="14" xfId="0" applyFont="1" applyBorder="1" applyAlignment="1">
      <alignment horizontal="center"/>
    </xf>
    <xf numFmtId="0" fontId="57" fillId="0" borderId="0" xfId="0" applyFont="1"/>
    <xf numFmtId="0" fontId="32" fillId="14" borderId="55" xfId="0" applyFont="1" applyFill="1" applyBorder="1" applyAlignment="1">
      <alignment horizontal="center" vertical="center" textRotation="90"/>
    </xf>
    <xf numFmtId="0" fontId="31" fillId="9" borderId="55" xfId="0" applyFont="1" applyFill="1" applyBorder="1" applyAlignment="1" applyProtection="1">
      <alignment horizontal="center" vertical="center" wrapText="1"/>
      <protection locked="0"/>
    </xf>
    <xf numFmtId="0" fontId="31" fillId="9" borderId="55" xfId="0" applyFont="1" applyFill="1" applyBorder="1" applyAlignment="1" applyProtection="1">
      <alignment horizontal="center" vertical="center"/>
      <protection locked="0"/>
    </xf>
    <xf numFmtId="0" fontId="22" fillId="9" borderId="0" xfId="3" applyFont="1" applyFill="1" applyAlignment="1">
      <alignment horizontal="center" vertical="center" wrapText="1"/>
    </xf>
    <xf numFmtId="0" fontId="1" fillId="9" borderId="0" xfId="3" applyFont="1" applyFill="1" applyAlignment="1">
      <alignment horizontal="center" vertical="center" wrapText="1"/>
    </xf>
    <xf numFmtId="14" fontId="31" fillId="9" borderId="55" xfId="0" applyNumberFormat="1" applyFont="1" applyFill="1" applyBorder="1" applyAlignment="1" applyProtection="1">
      <alignment horizontal="center" vertical="center"/>
      <protection locked="0"/>
    </xf>
    <xf numFmtId="0" fontId="31" fillId="9" borderId="55" xfId="0" applyFont="1" applyFill="1" applyBorder="1" applyAlignment="1" applyProtection="1">
      <alignment vertical="center" wrapText="1"/>
      <protection locked="0"/>
    </xf>
    <xf numFmtId="0" fontId="2" fillId="9" borderId="55" xfId="0" applyFont="1" applyFill="1" applyBorder="1" applyAlignment="1" applyProtection="1">
      <alignment vertical="center" wrapText="1"/>
      <protection locked="0"/>
    </xf>
    <xf numFmtId="0" fontId="31" fillId="9" borderId="0" xfId="0" applyFont="1" applyFill="1" applyAlignment="1">
      <alignment vertical="center" wrapText="1"/>
    </xf>
    <xf numFmtId="0" fontId="32" fillId="9" borderId="55" xfId="0" applyFont="1" applyFill="1" applyBorder="1" applyAlignment="1" applyProtection="1">
      <alignment horizontal="center" vertical="center" wrapText="1"/>
      <protection hidden="1"/>
    </xf>
    <xf numFmtId="9" fontId="31" fillId="9" borderId="55" xfId="0" applyNumberFormat="1" applyFont="1" applyFill="1" applyBorder="1" applyAlignment="1" applyProtection="1">
      <alignment horizontal="center" vertical="center" wrapText="1"/>
      <protection hidden="1"/>
    </xf>
    <xf numFmtId="9" fontId="31" fillId="9" borderId="55" xfId="0" applyNumberFormat="1" applyFont="1" applyFill="1" applyBorder="1" applyAlignment="1" applyProtection="1">
      <alignment horizontal="center" vertical="center" wrapText="1"/>
      <protection locked="0"/>
    </xf>
    <xf numFmtId="0" fontId="32" fillId="9" borderId="55" xfId="0" applyFont="1" applyFill="1" applyBorder="1" applyAlignment="1" applyProtection="1">
      <alignment horizontal="center" vertical="center"/>
      <protection hidden="1"/>
    </xf>
    <xf numFmtId="0" fontId="31" fillId="9" borderId="55" xfId="0" applyFont="1" applyFill="1" applyBorder="1" applyAlignment="1" applyProtection="1">
      <alignment horizontal="center" vertical="center"/>
      <protection hidden="1"/>
    </xf>
    <xf numFmtId="0" fontId="31" fillId="9" borderId="55" xfId="0" applyFont="1" applyFill="1" applyBorder="1" applyAlignment="1" applyProtection="1">
      <alignment horizontal="center" vertical="center" textRotation="90"/>
      <protection locked="0"/>
    </xf>
    <xf numFmtId="9" fontId="31" fillId="9" borderId="55" xfId="0" applyNumberFormat="1" applyFont="1" applyFill="1" applyBorder="1" applyAlignment="1" applyProtection="1">
      <alignment horizontal="center" vertical="center"/>
      <protection hidden="1"/>
    </xf>
    <xf numFmtId="0" fontId="32" fillId="9" borderId="55" xfId="0" applyFont="1" applyFill="1" applyBorder="1" applyAlignment="1" applyProtection="1">
      <alignment horizontal="center" vertical="center" textRotation="90" wrapText="1"/>
      <protection hidden="1"/>
    </xf>
    <xf numFmtId="0" fontId="31" fillId="9" borderId="14" xfId="0" applyFont="1" applyFill="1" applyBorder="1" applyAlignment="1" applyProtection="1">
      <alignment horizontal="center" vertical="center" wrapText="1"/>
      <protection locked="0"/>
    </xf>
    <xf numFmtId="0" fontId="31" fillId="9" borderId="56" xfId="0" applyFont="1" applyFill="1" applyBorder="1" applyAlignment="1" applyProtection="1">
      <alignment horizontal="justify" vertical="center" wrapText="1"/>
      <protection locked="0"/>
    </xf>
    <xf numFmtId="0" fontId="31" fillId="9" borderId="57" xfId="0" applyFont="1" applyFill="1" applyBorder="1" applyAlignment="1" applyProtection="1">
      <alignment vertical="center" wrapText="1"/>
      <protection locked="0"/>
    </xf>
    <xf numFmtId="0" fontId="2" fillId="9" borderId="57" xfId="0" applyFont="1" applyFill="1" applyBorder="1" applyAlignment="1" applyProtection="1">
      <alignment vertical="center" wrapText="1"/>
      <protection locked="0"/>
    </xf>
    <xf numFmtId="0" fontId="31" fillId="9" borderId="56" xfId="0" applyFont="1" applyFill="1" applyBorder="1" applyAlignment="1" applyProtection="1">
      <alignment horizontal="center" vertical="center" wrapText="1"/>
      <protection locked="0"/>
    </xf>
    <xf numFmtId="0" fontId="58" fillId="9" borderId="0" xfId="0" applyFont="1" applyFill="1" applyAlignment="1">
      <alignment horizontal="justify" vertical="center"/>
    </xf>
    <xf numFmtId="0" fontId="31" fillId="9" borderId="58" xfId="0" applyFont="1" applyFill="1" applyBorder="1" applyAlignment="1" applyProtection="1">
      <alignment horizontal="center" vertical="center" wrapText="1"/>
      <protection locked="0"/>
    </xf>
    <xf numFmtId="0" fontId="31" fillId="9" borderId="59" xfId="0" applyFont="1" applyFill="1" applyBorder="1" applyAlignment="1">
      <alignment horizontal="center" vertical="center" wrapText="1"/>
    </xf>
    <xf numFmtId="0" fontId="59" fillId="9" borderId="55" xfId="0" applyFont="1" applyFill="1" applyBorder="1" applyAlignment="1" applyProtection="1">
      <alignment horizontal="center" vertical="center" wrapText="1"/>
      <protection locked="0"/>
    </xf>
    <xf numFmtId="0" fontId="31" fillId="9" borderId="60" xfId="0" applyFont="1" applyFill="1" applyBorder="1" applyAlignment="1">
      <alignment horizontal="center" vertical="center"/>
    </xf>
    <xf numFmtId="0" fontId="31" fillId="9" borderId="60" xfId="0" applyFont="1" applyFill="1" applyBorder="1" applyAlignment="1">
      <alignment horizontal="center" vertical="center" wrapText="1"/>
    </xf>
    <xf numFmtId="0" fontId="31" fillId="9" borderId="55" xfId="0" applyFont="1" applyFill="1" applyBorder="1" applyAlignment="1">
      <alignment horizontal="center" vertical="center"/>
    </xf>
    <xf numFmtId="0" fontId="31" fillId="9" borderId="55" xfId="0" applyFont="1" applyFill="1" applyBorder="1" applyAlignment="1">
      <alignment horizontal="center" vertical="center" wrapText="1"/>
    </xf>
    <xf numFmtId="0" fontId="31" fillId="9" borderId="61" xfId="0" applyFont="1" applyFill="1" applyBorder="1" applyAlignment="1">
      <alignment horizontal="center" vertical="center"/>
    </xf>
    <xf numFmtId="0" fontId="31" fillId="9" borderId="62" xfId="0" applyFont="1" applyFill="1" applyBorder="1" applyAlignment="1" applyProtection="1">
      <alignment horizontal="center" vertical="center" wrapText="1"/>
      <protection locked="0"/>
    </xf>
    <xf numFmtId="0" fontId="31" fillId="9" borderId="60" xfId="0" applyFont="1" applyFill="1" applyBorder="1" applyAlignment="1" applyProtection="1">
      <alignment horizontal="center" vertical="center" wrapText="1"/>
      <protection locked="0"/>
    </xf>
    <xf numFmtId="0" fontId="31" fillId="9" borderId="59" xfId="0" applyFont="1" applyFill="1" applyBorder="1" applyAlignment="1" applyProtection="1">
      <alignment horizontal="center" vertical="center" wrapText="1"/>
      <protection locked="0"/>
    </xf>
    <xf numFmtId="164" fontId="31" fillId="9" borderId="55" xfId="5" applyNumberFormat="1" applyFont="1" applyFill="1" applyBorder="1" applyAlignment="1">
      <alignment horizontal="center" vertical="center"/>
    </xf>
    <xf numFmtId="0" fontId="32" fillId="9" borderId="55" xfId="0" applyFont="1" applyFill="1" applyBorder="1" applyAlignment="1" applyProtection="1">
      <alignment horizontal="center" vertical="center" textRotation="90"/>
      <protection hidden="1"/>
    </xf>
    <xf numFmtId="0" fontId="31" fillId="9" borderId="63" xfId="0" applyFont="1" applyFill="1" applyBorder="1" applyAlignment="1" applyProtection="1">
      <alignment horizontal="center" vertical="center" textRotation="90"/>
      <protection locked="0"/>
    </xf>
    <xf numFmtId="0" fontId="31" fillId="9" borderId="14" xfId="0" applyFont="1" applyFill="1" applyBorder="1" applyAlignment="1">
      <alignment horizontal="center" vertical="center" wrapText="1"/>
    </xf>
    <xf numFmtId="0" fontId="32" fillId="12" borderId="55" xfId="0" applyFont="1" applyFill="1" applyBorder="1" applyAlignment="1" applyProtection="1">
      <alignment horizontal="center" vertical="center" textRotation="90" wrapText="1"/>
      <protection hidden="1"/>
    </xf>
    <xf numFmtId="0" fontId="32" fillId="12" borderId="55" xfId="0" applyFont="1" applyFill="1" applyBorder="1" applyAlignment="1" applyProtection="1">
      <alignment horizontal="center" vertical="center" textRotation="90"/>
      <protection hidden="1"/>
    </xf>
    <xf numFmtId="0" fontId="31" fillId="0" borderId="0" xfId="0" applyFont="1" applyAlignment="1">
      <alignment vertical="center"/>
    </xf>
    <xf numFmtId="43" fontId="31" fillId="0" borderId="0" xfId="1" applyFont="1" applyAlignment="1">
      <alignment vertical="center"/>
    </xf>
    <xf numFmtId="0" fontId="31" fillId="9" borderId="55" xfId="0" applyFont="1" applyFill="1" applyBorder="1" applyAlignment="1" applyProtection="1">
      <alignment horizontal="justify" vertical="center" wrapText="1"/>
      <protection locked="0"/>
    </xf>
    <xf numFmtId="0" fontId="31" fillId="9" borderId="55" xfId="0" applyFont="1" applyFill="1" applyBorder="1" applyAlignment="1" applyProtection="1">
      <alignment horizontal="justify" vertical="center"/>
      <protection locked="0"/>
    </xf>
    <xf numFmtId="0" fontId="32" fillId="15" borderId="55" xfId="0" applyFont="1" applyFill="1" applyBorder="1" applyAlignment="1" applyProtection="1">
      <alignment horizontal="center" vertical="center" textRotation="90" wrapText="1"/>
      <protection hidden="1"/>
    </xf>
    <xf numFmtId="0" fontId="32" fillId="15" borderId="55" xfId="0" applyFont="1" applyFill="1" applyBorder="1" applyAlignment="1" applyProtection="1">
      <alignment horizontal="center" vertical="center" textRotation="90"/>
      <protection hidden="1"/>
    </xf>
    <xf numFmtId="0" fontId="31" fillId="15" borderId="0" xfId="0" applyFont="1" applyFill="1" applyAlignment="1">
      <alignment vertical="center"/>
    </xf>
    <xf numFmtId="14" fontId="31" fillId="9" borderId="0" xfId="0" applyNumberFormat="1" applyFont="1" applyFill="1" applyAlignment="1">
      <alignment vertical="center"/>
    </xf>
    <xf numFmtId="0" fontId="31" fillId="9" borderId="62" xfId="0" applyFont="1" applyFill="1" applyBorder="1" applyAlignment="1" applyProtection="1">
      <alignment vertical="center" wrapText="1"/>
      <protection locked="0"/>
    </xf>
    <xf numFmtId="0" fontId="2" fillId="9" borderId="62" xfId="0" applyFont="1" applyFill="1" applyBorder="1" applyAlignment="1" applyProtection="1">
      <alignment vertical="center" wrapText="1"/>
      <protection locked="0"/>
    </xf>
    <xf numFmtId="0" fontId="60" fillId="9" borderId="0" xfId="0" applyFont="1" applyFill="1" applyAlignment="1">
      <alignment vertical="center" wrapText="1"/>
    </xf>
    <xf numFmtId="0" fontId="61" fillId="9" borderId="56" xfId="0" applyFont="1" applyFill="1" applyBorder="1" applyAlignment="1">
      <alignment horizontal="justify" vertical="center" wrapText="1"/>
    </xf>
    <xf numFmtId="0" fontId="31" fillId="9" borderId="56" xfId="0" applyFont="1" applyFill="1" applyBorder="1" applyAlignment="1">
      <alignment horizontal="left" vertical="center" wrapText="1"/>
    </xf>
    <xf numFmtId="0" fontId="59" fillId="9" borderId="55" xfId="0" applyFont="1" applyFill="1" applyBorder="1" applyAlignment="1" applyProtection="1">
      <alignment horizontal="justify" vertical="center" wrapText="1"/>
      <protection locked="0"/>
    </xf>
    <xf numFmtId="0" fontId="2" fillId="9" borderId="62" xfId="0" applyFont="1" applyFill="1" applyBorder="1" applyAlignment="1" applyProtection="1">
      <alignment horizontal="center" vertical="center" wrapText="1"/>
      <protection locked="0"/>
    </xf>
    <xf numFmtId="0" fontId="31" fillId="9" borderId="64" xfId="0" applyFont="1" applyFill="1" applyBorder="1" applyAlignment="1" applyProtection="1">
      <alignment horizontal="center" vertical="center"/>
      <protection locked="0"/>
    </xf>
    <xf numFmtId="0" fontId="62" fillId="9" borderId="55" xfId="0" applyFont="1" applyFill="1" applyBorder="1" applyAlignment="1" applyProtection="1">
      <alignment vertical="center" wrapText="1"/>
      <protection locked="0"/>
    </xf>
    <xf numFmtId="0" fontId="31" fillId="12" borderId="0" xfId="0" applyFont="1" applyFill="1" applyAlignment="1">
      <alignment vertical="center"/>
    </xf>
    <xf numFmtId="0" fontId="31" fillId="9" borderId="55" xfId="0" applyFont="1" applyFill="1" applyBorder="1" applyAlignment="1" applyProtection="1">
      <alignment horizontal="left" vertical="center" wrapText="1"/>
      <protection locked="0"/>
    </xf>
    <xf numFmtId="43" fontId="31" fillId="9" borderId="0" xfId="1" applyFont="1" applyFill="1" applyAlignment="1">
      <alignment vertical="center"/>
    </xf>
    <xf numFmtId="0" fontId="2" fillId="9" borderId="62" xfId="0" applyFont="1" applyFill="1" applyBorder="1" applyAlignment="1" applyProtection="1">
      <alignment horizontal="left" vertical="center" wrapText="1"/>
      <protection locked="0"/>
    </xf>
    <xf numFmtId="0" fontId="31" fillId="9" borderId="65" xfId="0" applyFont="1" applyFill="1" applyBorder="1" applyAlignment="1" applyProtection="1">
      <alignment horizontal="justify" vertical="center" wrapText="1"/>
      <protection locked="0"/>
    </xf>
    <xf numFmtId="0" fontId="31" fillId="9" borderId="66" xfId="0" applyFont="1" applyFill="1" applyBorder="1" applyAlignment="1" applyProtection="1">
      <alignment horizontal="justify" vertical="center" wrapText="1"/>
      <protection locked="0"/>
    </xf>
    <xf numFmtId="0" fontId="60" fillId="9" borderId="0" xfId="0" applyFont="1" applyFill="1" applyAlignment="1">
      <alignment vertical="center"/>
    </xf>
    <xf numFmtId="0" fontId="31" fillId="12" borderId="55" xfId="0" applyFont="1" applyFill="1" applyBorder="1" applyAlignment="1">
      <alignment horizontal="center" vertical="center"/>
    </xf>
    <xf numFmtId="0" fontId="31" fillId="4" borderId="55" xfId="0" applyFont="1" applyFill="1" applyBorder="1" applyAlignment="1">
      <alignment horizontal="center" vertical="center"/>
    </xf>
    <xf numFmtId="0" fontId="31" fillId="4" borderId="55" xfId="0" applyFont="1" applyFill="1" applyBorder="1" applyAlignment="1">
      <alignment horizontal="center" vertical="center" wrapText="1"/>
    </xf>
    <xf numFmtId="0" fontId="31" fillId="4" borderId="55" xfId="0" applyFont="1" applyFill="1" applyBorder="1" applyAlignment="1" applyProtection="1">
      <alignment horizontal="center" vertical="center" wrapText="1"/>
      <protection locked="0"/>
    </xf>
    <xf numFmtId="0" fontId="52" fillId="0" borderId="0" xfId="0" applyFont="1" applyAlignment="1">
      <alignment horizontal="left" vertical="center"/>
    </xf>
    <xf numFmtId="14" fontId="31" fillId="9" borderId="55" xfId="0" applyNumberFormat="1" applyFont="1" applyFill="1" applyBorder="1" applyAlignment="1" applyProtection="1">
      <alignment horizontal="left" vertical="center" wrapText="1"/>
      <protection locked="0"/>
    </xf>
    <xf numFmtId="0" fontId="31" fillId="9" borderId="0" xfId="0" applyFont="1" applyFill="1" applyAlignment="1">
      <alignment horizontal="left" vertical="center" wrapText="1"/>
    </xf>
    <xf numFmtId="0" fontId="31" fillId="0" borderId="0" xfId="0" applyFont="1" applyAlignment="1">
      <alignment horizontal="left" vertical="center"/>
    </xf>
    <xf numFmtId="0" fontId="31" fillId="0" borderId="55" xfId="0" applyFont="1" applyBorder="1" applyAlignment="1">
      <alignment horizontal="center" vertical="center"/>
    </xf>
    <xf numFmtId="9" fontId="31" fillId="9" borderId="55" xfId="0" applyNumberFormat="1" applyFont="1" applyFill="1" applyBorder="1" applyAlignment="1" applyProtection="1">
      <alignment horizontal="center" vertical="center"/>
      <protection locked="0"/>
    </xf>
    <xf numFmtId="0" fontId="32" fillId="15" borderId="55" xfId="0" applyFont="1" applyFill="1" applyBorder="1" applyAlignment="1" applyProtection="1">
      <alignment horizontal="center" vertical="center" wrapText="1"/>
      <protection hidden="1"/>
    </xf>
    <xf numFmtId="0" fontId="32" fillId="15" borderId="55" xfId="0" applyFont="1" applyFill="1" applyBorder="1" applyAlignment="1" applyProtection="1">
      <alignment horizontal="center" vertical="center"/>
      <protection hidden="1"/>
    </xf>
    <xf numFmtId="0" fontId="32" fillId="12" borderId="55" xfId="0" applyFont="1" applyFill="1" applyBorder="1" applyAlignment="1" applyProtection="1">
      <alignment horizontal="center" vertical="center" wrapText="1"/>
      <protection hidden="1"/>
    </xf>
    <xf numFmtId="0" fontId="32" fillId="12" borderId="55" xfId="0" applyFont="1" applyFill="1" applyBorder="1" applyAlignment="1" applyProtection="1">
      <alignment horizontal="center" vertical="center"/>
      <protection hidden="1"/>
    </xf>
    <xf numFmtId="0" fontId="17" fillId="9" borderId="22" xfId="4" applyFont="1" applyFill="1" applyBorder="1" applyAlignment="1">
      <alignment horizontal="left" vertical="top" wrapText="1" readingOrder="1"/>
    </xf>
    <xf numFmtId="0" fontId="17" fillId="9" borderId="23" xfId="4" applyFont="1" applyFill="1" applyBorder="1" applyAlignment="1">
      <alignment horizontal="left" vertical="top" wrapText="1" readingOrder="1"/>
    </xf>
    <xf numFmtId="0" fontId="18" fillId="9" borderId="20" xfId="2" applyFont="1" applyFill="1" applyBorder="1" applyAlignment="1">
      <alignment horizontal="justify" vertical="center" wrapText="1"/>
    </xf>
    <xf numFmtId="0" fontId="18" fillId="9" borderId="21" xfId="2" applyFont="1" applyFill="1" applyBorder="1" applyAlignment="1">
      <alignment horizontal="justify" vertical="center" wrapText="1"/>
    </xf>
    <xf numFmtId="0" fontId="18" fillId="9" borderId="24" xfId="2" applyFont="1" applyFill="1" applyBorder="1" applyAlignment="1">
      <alignment horizontal="justify" vertical="center" wrapText="1"/>
    </xf>
    <xf numFmtId="0" fontId="18" fillId="9" borderId="25" xfId="2" applyFont="1" applyFill="1" applyBorder="1" applyAlignment="1">
      <alignment horizontal="justify" vertical="center" wrapText="1"/>
    </xf>
    <xf numFmtId="0" fontId="17" fillId="9" borderId="26" xfId="0" applyFont="1" applyFill="1" applyBorder="1" applyAlignment="1">
      <alignment horizontal="left" vertical="center" wrapText="1"/>
    </xf>
    <xf numFmtId="0" fontId="17" fillId="9" borderId="27" xfId="0" applyFont="1" applyFill="1" applyBorder="1" applyAlignment="1">
      <alignment horizontal="left" vertical="center" wrapText="1"/>
    </xf>
    <xf numFmtId="0" fontId="12" fillId="9" borderId="4" xfId="2" applyFont="1" applyFill="1" applyBorder="1" applyAlignment="1">
      <alignment horizontal="left" vertical="top" wrapText="1"/>
    </xf>
    <xf numFmtId="0" fontId="12" fillId="9" borderId="0" xfId="2" applyFont="1" applyFill="1" applyAlignment="1">
      <alignment horizontal="left" vertical="top" wrapText="1"/>
    </xf>
    <xf numFmtId="0" fontId="12" fillId="9" borderId="5" xfId="2" applyFont="1" applyFill="1" applyBorder="1" applyAlignment="1">
      <alignment horizontal="left" vertical="top" wrapText="1"/>
    </xf>
    <xf numFmtId="0" fontId="17" fillId="9" borderId="28" xfId="0" applyFont="1" applyFill="1" applyBorder="1" applyAlignment="1">
      <alignment horizontal="left" vertical="center" wrapText="1"/>
    </xf>
    <xf numFmtId="0" fontId="17" fillId="9" borderId="29" xfId="0" applyFont="1" applyFill="1" applyBorder="1" applyAlignment="1">
      <alignment horizontal="left" vertical="center" wrapText="1"/>
    </xf>
    <xf numFmtId="0" fontId="18" fillId="9" borderId="30" xfId="0" applyFont="1" applyFill="1" applyBorder="1" applyAlignment="1">
      <alignment horizontal="justify" vertical="center" wrapText="1"/>
    </xf>
    <xf numFmtId="0" fontId="18" fillId="9" borderId="31" xfId="0" applyFont="1" applyFill="1" applyBorder="1" applyAlignment="1">
      <alignment horizontal="justify" vertical="center" wrapText="1"/>
    </xf>
    <xf numFmtId="0" fontId="17" fillId="9" borderId="32" xfId="0" applyFont="1" applyFill="1" applyBorder="1" applyAlignment="1">
      <alignment horizontal="left" vertical="center" wrapText="1"/>
    </xf>
    <xf numFmtId="0" fontId="17" fillId="9" borderId="33" xfId="0" applyFont="1" applyFill="1" applyBorder="1" applyAlignment="1">
      <alignment horizontal="left" vertical="center" wrapText="1"/>
    </xf>
    <xf numFmtId="0" fontId="13" fillId="16" borderId="34" xfId="2" applyFont="1" applyFill="1" applyBorder="1" applyAlignment="1">
      <alignment horizontal="center" vertical="center" wrapText="1"/>
    </xf>
    <xf numFmtId="0" fontId="13" fillId="16" borderId="35" xfId="2" applyFont="1" applyFill="1" applyBorder="1" applyAlignment="1">
      <alignment horizontal="center" vertical="center" wrapText="1"/>
    </xf>
    <xf numFmtId="0" fontId="13" fillId="16" borderId="36" xfId="2" applyFont="1" applyFill="1" applyBorder="1" applyAlignment="1">
      <alignment horizontal="center" vertical="center" wrapText="1"/>
    </xf>
    <xf numFmtId="0" fontId="12" fillId="0" borderId="4" xfId="2" quotePrefix="1" applyFont="1" applyBorder="1" applyAlignment="1">
      <alignment horizontal="left" vertical="center" wrapText="1"/>
    </xf>
    <xf numFmtId="0" fontId="12" fillId="0" borderId="0" xfId="2" quotePrefix="1" applyFont="1" applyAlignment="1">
      <alignment horizontal="left" vertical="center" wrapText="1"/>
    </xf>
    <xf numFmtId="0" fontId="12" fillId="0" borderId="5" xfId="2" quotePrefix="1" applyFont="1" applyBorder="1" applyAlignment="1">
      <alignment horizontal="left" vertical="center" wrapText="1"/>
    </xf>
    <xf numFmtId="0" fontId="12" fillId="0" borderId="37" xfId="2" quotePrefix="1" applyFont="1" applyBorder="1" applyAlignment="1">
      <alignment horizontal="left" vertical="center" wrapText="1"/>
    </xf>
    <xf numFmtId="0" fontId="12" fillId="0" borderId="38" xfId="2" quotePrefix="1" applyFont="1" applyBorder="1" applyAlignment="1">
      <alignment horizontal="left" vertical="center" wrapText="1"/>
    </xf>
    <xf numFmtId="0" fontId="12" fillId="0" borderId="39" xfId="2" quotePrefix="1" applyFont="1" applyBorder="1" applyAlignment="1">
      <alignment horizontal="left" vertical="center" wrapText="1"/>
    </xf>
    <xf numFmtId="0" fontId="14" fillId="9" borderId="9" xfId="2" quotePrefix="1" applyFont="1" applyFill="1" applyBorder="1" applyAlignment="1">
      <alignment horizontal="left" vertical="top" wrapText="1"/>
    </xf>
    <xf numFmtId="0" fontId="15" fillId="9" borderId="10" xfId="2" quotePrefix="1" applyFont="1" applyFill="1" applyBorder="1" applyAlignment="1">
      <alignment horizontal="left" vertical="top" wrapText="1"/>
    </xf>
    <xf numFmtId="0" fontId="15" fillId="9" borderId="11" xfId="2" quotePrefix="1" applyFont="1" applyFill="1" applyBorder="1" applyAlignment="1">
      <alignment horizontal="left" vertical="top" wrapText="1"/>
    </xf>
    <xf numFmtId="0" fontId="12" fillId="0" borderId="4" xfId="2" quotePrefix="1" applyFont="1" applyBorder="1" applyAlignment="1">
      <alignment horizontal="left" vertical="top" wrapText="1"/>
    </xf>
    <xf numFmtId="0" fontId="12" fillId="0" borderId="0" xfId="2" quotePrefix="1" applyFont="1" applyAlignment="1">
      <alignment horizontal="left" vertical="top" wrapText="1"/>
    </xf>
    <xf numFmtId="0" fontId="12" fillId="0" borderId="5" xfId="2" quotePrefix="1" applyFont="1" applyBorder="1" applyAlignment="1">
      <alignment horizontal="left" vertical="top" wrapText="1"/>
    </xf>
    <xf numFmtId="0" fontId="17" fillId="16" borderId="40" xfId="4" applyFont="1" applyFill="1" applyBorder="1" applyAlignment="1">
      <alignment horizontal="center" vertical="center" wrapText="1"/>
    </xf>
    <xf numFmtId="0" fontId="17" fillId="16" borderId="67" xfId="4" applyFont="1" applyFill="1" applyBorder="1" applyAlignment="1">
      <alignment horizontal="center" vertical="center" wrapText="1"/>
    </xf>
    <xf numFmtId="0" fontId="17" fillId="16" borderId="68" xfId="2" applyFont="1" applyFill="1" applyBorder="1" applyAlignment="1">
      <alignment horizontal="center" vertical="center"/>
    </xf>
    <xf numFmtId="0" fontId="17" fillId="16" borderId="41" xfId="2" applyFont="1" applyFill="1" applyBorder="1" applyAlignment="1">
      <alignment horizontal="center" vertical="center"/>
    </xf>
    <xf numFmtId="0" fontId="2" fillId="9" borderId="37" xfId="2" quotePrefix="1" applyFont="1" applyFill="1" applyBorder="1" applyAlignment="1">
      <alignment horizontal="justify" vertical="center" wrapText="1"/>
    </xf>
    <xf numFmtId="0" fontId="2" fillId="9" borderId="38" xfId="2" quotePrefix="1" applyFont="1" applyFill="1" applyBorder="1" applyAlignment="1">
      <alignment horizontal="justify" vertical="center" wrapText="1"/>
    </xf>
    <xf numFmtId="0" fontId="2" fillId="9" borderId="39" xfId="2" quotePrefix="1" applyFont="1" applyFill="1" applyBorder="1" applyAlignment="1">
      <alignment horizontal="justify" vertical="center" wrapText="1"/>
    </xf>
    <xf numFmtId="0" fontId="52" fillId="0" borderId="69" xfId="0" applyFont="1" applyBorder="1" applyAlignment="1">
      <alignment horizontal="center" vertical="center"/>
    </xf>
    <xf numFmtId="0" fontId="52" fillId="0" borderId="70" xfId="0" applyFont="1" applyBorder="1" applyAlignment="1">
      <alignment horizontal="center" vertical="center"/>
    </xf>
    <xf numFmtId="0" fontId="32" fillId="14" borderId="55" xfId="0" applyFont="1" applyFill="1" applyBorder="1" applyAlignment="1">
      <alignment horizontal="center" vertical="center" textRotation="90" wrapText="1"/>
    </xf>
    <xf numFmtId="0" fontId="32" fillId="14" borderId="55" xfId="0" applyFont="1" applyFill="1" applyBorder="1" applyAlignment="1">
      <alignment horizontal="center" vertical="center" wrapText="1"/>
    </xf>
    <xf numFmtId="0" fontId="32" fillId="14" borderId="55" xfId="0" applyFont="1" applyFill="1" applyBorder="1" applyAlignment="1">
      <alignment horizontal="center" vertical="center"/>
    </xf>
    <xf numFmtId="0" fontId="53" fillId="0" borderId="71" xfId="0" applyFont="1" applyBorder="1" applyAlignment="1">
      <alignment horizontal="left" vertical="center" wrapText="1"/>
    </xf>
    <xf numFmtId="0" fontId="53" fillId="0" borderId="72" xfId="0" applyFont="1" applyBorder="1" applyAlignment="1">
      <alignment horizontal="left" vertical="center" wrapText="1"/>
    </xf>
    <xf numFmtId="0" fontId="53" fillId="0" borderId="73" xfId="0" applyFont="1" applyBorder="1" applyAlignment="1">
      <alignment horizontal="left" vertical="center" wrapText="1"/>
    </xf>
    <xf numFmtId="0" fontId="53" fillId="0" borderId="71" xfId="0" applyFont="1" applyBorder="1" applyAlignment="1">
      <alignment horizontal="left" vertical="center"/>
    </xf>
    <xf numFmtId="0" fontId="53" fillId="0" borderId="72" xfId="0" applyFont="1" applyBorder="1" applyAlignment="1">
      <alignment horizontal="left" vertical="center"/>
    </xf>
    <xf numFmtId="0" fontId="53" fillId="0" borderId="73" xfId="0" applyFont="1" applyBorder="1" applyAlignment="1">
      <alignment horizontal="left" vertical="center"/>
    </xf>
    <xf numFmtId="0" fontId="31" fillId="4" borderId="62" xfId="0" applyFont="1" applyFill="1" applyBorder="1" applyAlignment="1">
      <alignment horizontal="center" vertical="center"/>
    </xf>
    <xf numFmtId="0" fontId="31" fillId="4" borderId="61" xfId="0" applyFont="1" applyFill="1" applyBorder="1" applyAlignment="1">
      <alignment horizontal="center" vertical="center"/>
    </xf>
    <xf numFmtId="0" fontId="31" fillId="4" borderId="60" xfId="0" applyFont="1" applyFill="1" applyBorder="1" applyAlignment="1">
      <alignment horizontal="center" vertical="center"/>
    </xf>
    <xf numFmtId="0" fontId="31" fillId="9" borderId="62" xfId="0" applyFont="1" applyFill="1" applyBorder="1" applyAlignment="1" applyProtection="1">
      <alignment horizontal="center" vertical="center" wrapText="1"/>
      <protection locked="0"/>
    </xf>
    <xf numFmtId="0" fontId="31" fillId="9" borderId="61" xfId="0" applyFont="1" applyFill="1" applyBorder="1" applyAlignment="1" applyProtection="1">
      <alignment horizontal="center" vertical="center" wrapText="1"/>
      <protection locked="0"/>
    </xf>
    <xf numFmtId="0" fontId="31" fillId="9" borderId="60" xfId="0" applyFont="1" applyFill="1" applyBorder="1" applyAlignment="1" applyProtection="1">
      <alignment horizontal="center" vertical="center" wrapText="1"/>
      <protection locked="0"/>
    </xf>
    <xf numFmtId="0" fontId="31" fillId="9" borderId="59" xfId="0" applyFont="1" applyFill="1" applyBorder="1" applyAlignment="1" applyProtection="1">
      <alignment horizontal="center" vertical="center" wrapText="1"/>
      <protection locked="0"/>
    </xf>
    <xf numFmtId="0" fontId="32" fillId="13" borderId="55" xfId="0" applyFont="1" applyFill="1" applyBorder="1" applyAlignment="1">
      <alignment horizontal="center" vertical="center" wrapText="1"/>
    </xf>
    <xf numFmtId="0" fontId="31" fillId="9" borderId="62" xfId="0" applyFont="1" applyFill="1" applyBorder="1" applyAlignment="1">
      <alignment horizontal="center" vertical="center" wrapText="1"/>
    </xf>
    <xf numFmtId="0" fontId="31" fillId="9" borderId="61" xfId="0" applyFont="1" applyFill="1" applyBorder="1" applyAlignment="1">
      <alignment horizontal="center" vertical="center" wrapText="1"/>
    </xf>
    <xf numFmtId="0" fontId="31" fillId="9" borderId="60" xfId="0" applyFont="1" applyFill="1" applyBorder="1" applyAlignment="1">
      <alignment horizontal="center" vertical="center" wrapText="1"/>
    </xf>
    <xf numFmtId="0" fontId="31" fillId="9" borderId="62" xfId="0" applyFont="1" applyFill="1" applyBorder="1" applyAlignment="1">
      <alignment horizontal="center" vertical="center"/>
    </xf>
    <xf numFmtId="0" fontId="31" fillId="9" borderId="60" xfId="0" applyFont="1" applyFill="1" applyBorder="1" applyAlignment="1">
      <alignment horizontal="center" vertical="center"/>
    </xf>
    <xf numFmtId="0" fontId="32" fillId="14" borderId="62" xfId="0" applyFont="1" applyFill="1" applyBorder="1" applyAlignment="1">
      <alignment horizontal="center" vertical="center" wrapText="1"/>
    </xf>
    <xf numFmtId="0" fontId="32" fillId="14" borderId="61" xfId="0" applyFont="1" applyFill="1" applyBorder="1" applyAlignment="1">
      <alignment horizontal="center" vertical="center" wrapText="1"/>
    </xf>
    <xf numFmtId="0" fontId="32" fillId="14" borderId="60" xfId="0" applyFont="1" applyFill="1" applyBorder="1" applyAlignment="1">
      <alignment horizontal="center" vertical="center" wrapText="1"/>
    </xf>
    <xf numFmtId="0" fontId="32" fillId="13" borderId="62" xfId="0" applyFont="1" applyFill="1" applyBorder="1" applyAlignment="1">
      <alignment horizontal="center" vertical="center"/>
    </xf>
    <xf numFmtId="0" fontId="32" fillId="13" borderId="61" xfId="0" applyFont="1" applyFill="1" applyBorder="1" applyAlignment="1">
      <alignment horizontal="center" vertical="center"/>
    </xf>
    <xf numFmtId="0" fontId="32" fillId="13" borderId="60" xfId="0" applyFont="1" applyFill="1" applyBorder="1" applyAlignment="1">
      <alignment horizontal="center" vertical="center"/>
    </xf>
    <xf numFmtId="0" fontId="63" fillId="14" borderId="55" xfId="0" applyFont="1" applyFill="1" applyBorder="1" applyAlignment="1">
      <alignment horizontal="center" vertical="center" textRotation="90"/>
    </xf>
    <xf numFmtId="0" fontId="32" fillId="13" borderId="55" xfId="0" applyFont="1" applyFill="1" applyBorder="1" applyAlignment="1">
      <alignment horizontal="center" vertical="center"/>
    </xf>
    <xf numFmtId="0" fontId="2" fillId="9" borderId="59" xfId="0" applyFont="1" applyFill="1" applyBorder="1" applyAlignment="1" applyProtection="1">
      <alignment horizontal="center" vertical="center" wrapText="1"/>
      <protection locked="0"/>
    </xf>
    <xf numFmtId="0" fontId="31" fillId="0" borderId="77" xfId="0" applyFont="1" applyBorder="1" applyAlignment="1">
      <alignment horizontal="left" vertical="center" wrapText="1"/>
    </xf>
    <xf numFmtId="0" fontId="31" fillId="0" borderId="78" xfId="0" applyFont="1" applyBorder="1" applyAlignment="1">
      <alignment horizontal="left" vertical="center" wrapText="1"/>
    </xf>
    <xf numFmtId="0" fontId="31" fillId="0" borderId="79" xfId="0" applyFont="1" applyBorder="1" applyAlignment="1">
      <alignment horizontal="left" vertical="center" wrapText="1"/>
    </xf>
    <xf numFmtId="9" fontId="31" fillId="9" borderId="55" xfId="0" applyNumberFormat="1" applyFont="1" applyFill="1" applyBorder="1" applyAlignment="1" applyProtection="1">
      <alignment horizontal="center" vertical="center" wrapText="1"/>
      <protection hidden="1"/>
    </xf>
    <xf numFmtId="0" fontId="31" fillId="9" borderId="80" xfId="0" applyFont="1" applyFill="1" applyBorder="1" applyAlignment="1" applyProtection="1">
      <alignment horizontal="center" vertical="center" wrapText="1"/>
      <protection locked="0"/>
    </xf>
    <xf numFmtId="0" fontId="31" fillId="9" borderId="81" xfId="0" applyFont="1" applyFill="1" applyBorder="1" applyAlignment="1" applyProtection="1">
      <alignment horizontal="center" vertical="center" wrapText="1"/>
      <protection locked="0"/>
    </xf>
    <xf numFmtId="0" fontId="31" fillId="9" borderId="82" xfId="0" applyFont="1" applyFill="1" applyBorder="1" applyAlignment="1" applyProtection="1">
      <alignment horizontal="center" vertical="center" wrapText="1"/>
      <protection locked="0"/>
    </xf>
    <xf numFmtId="0" fontId="32" fillId="9" borderId="62" xfId="0" applyFont="1" applyFill="1" applyBorder="1" applyAlignment="1" applyProtection="1">
      <alignment horizontal="center" vertical="center" wrapText="1"/>
      <protection hidden="1"/>
    </xf>
    <xf numFmtId="0" fontId="32" fillId="9" borderId="61" xfId="0" applyFont="1" applyFill="1" applyBorder="1" applyAlignment="1" applyProtection="1">
      <alignment horizontal="center" vertical="center" wrapText="1"/>
      <protection hidden="1"/>
    </xf>
    <xf numFmtId="0" fontId="32" fillId="9" borderId="60" xfId="0" applyFont="1" applyFill="1" applyBorder="1" applyAlignment="1" applyProtection="1">
      <alignment horizontal="center" vertical="center" wrapText="1"/>
      <protection hidden="1"/>
    </xf>
    <xf numFmtId="9" fontId="31" fillId="9" borderId="62" xfId="0" applyNumberFormat="1" applyFont="1" applyFill="1" applyBorder="1" applyAlignment="1" applyProtection="1">
      <alignment horizontal="center" vertical="center" wrapText="1"/>
      <protection hidden="1"/>
    </xf>
    <xf numFmtId="9" fontId="31" fillId="9" borderId="61" xfId="0" applyNumberFormat="1" applyFont="1" applyFill="1" applyBorder="1" applyAlignment="1" applyProtection="1">
      <alignment horizontal="center" vertical="center" wrapText="1"/>
      <protection hidden="1"/>
    </xf>
    <xf numFmtId="9" fontId="31" fillId="9" borderId="60" xfId="0" applyNumberFormat="1" applyFont="1" applyFill="1" applyBorder="1" applyAlignment="1" applyProtection="1">
      <alignment horizontal="center" vertical="center" wrapText="1"/>
      <protection hidden="1"/>
    </xf>
    <xf numFmtId="0" fontId="31" fillId="9" borderId="62" xfId="0" applyFont="1" applyFill="1" applyBorder="1" applyAlignment="1" applyProtection="1">
      <alignment horizontal="center" vertical="center" textRotation="90"/>
      <protection locked="0"/>
    </xf>
    <xf numFmtId="0" fontId="31" fillId="9" borderId="61" xfId="0" applyFont="1" applyFill="1" applyBorder="1" applyAlignment="1" applyProtection="1">
      <alignment horizontal="center" vertical="center" textRotation="90"/>
      <protection locked="0"/>
    </xf>
    <xf numFmtId="0" fontId="31" fillId="9" borderId="60" xfId="0" applyFont="1" applyFill="1" applyBorder="1" applyAlignment="1" applyProtection="1">
      <alignment horizontal="center" vertical="center" textRotation="90"/>
      <protection locked="0"/>
    </xf>
    <xf numFmtId="0" fontId="32" fillId="9" borderId="62" xfId="0" applyFont="1" applyFill="1" applyBorder="1" applyAlignment="1" applyProtection="1">
      <alignment horizontal="center" vertical="center"/>
      <protection hidden="1"/>
    </xf>
    <xf numFmtId="0" fontId="32" fillId="9" borderId="61" xfId="0" applyFont="1" applyFill="1" applyBorder="1" applyAlignment="1" applyProtection="1">
      <alignment horizontal="center" vertical="center"/>
      <protection hidden="1"/>
    </xf>
    <xf numFmtId="0" fontId="32" fillId="9" borderId="60" xfId="0" applyFont="1" applyFill="1" applyBorder="1" applyAlignment="1" applyProtection="1">
      <alignment horizontal="center" vertical="center"/>
      <protection hidden="1"/>
    </xf>
    <xf numFmtId="0" fontId="31" fillId="9" borderId="74" xfId="0" applyFont="1" applyFill="1" applyBorder="1" applyAlignment="1">
      <alignment horizontal="center" vertical="center"/>
    </xf>
    <xf numFmtId="0" fontId="31" fillId="9" borderId="75" xfId="0" applyFont="1" applyFill="1" applyBorder="1" applyAlignment="1">
      <alignment horizontal="center" vertical="center"/>
    </xf>
    <xf numFmtId="0" fontId="31" fillId="9" borderId="76" xfId="0" applyFont="1" applyFill="1" applyBorder="1" applyAlignment="1">
      <alignment horizontal="center" vertical="center"/>
    </xf>
    <xf numFmtId="0" fontId="31" fillId="9" borderId="75" xfId="0" applyFont="1" applyFill="1" applyBorder="1" applyAlignment="1">
      <alignment vertical="center"/>
    </xf>
    <xf numFmtId="0" fontId="31" fillId="9" borderId="55" xfId="0" applyFont="1" applyFill="1" applyBorder="1" applyAlignment="1">
      <alignment horizontal="center" vertical="center"/>
    </xf>
    <xf numFmtId="0" fontId="31" fillId="9" borderId="55" xfId="0" applyFont="1" applyFill="1" applyBorder="1" applyAlignment="1">
      <alignment horizontal="center" vertical="center" wrapText="1"/>
    </xf>
    <xf numFmtId="0" fontId="54" fillId="0" borderId="42" xfId="0" applyFont="1" applyBorder="1" applyAlignment="1">
      <alignment horizontal="center"/>
    </xf>
    <xf numFmtId="0" fontId="54" fillId="0" borderId="43" xfId="0" applyFont="1" applyBorder="1" applyAlignment="1">
      <alignment horizontal="center"/>
    </xf>
    <xf numFmtId="0" fontId="54" fillId="0" borderId="44" xfId="0" applyFont="1" applyBorder="1" applyAlignment="1">
      <alignment horizontal="center"/>
    </xf>
    <xf numFmtId="0" fontId="53" fillId="0" borderId="14" xfId="0" applyFont="1" applyBorder="1" applyAlignment="1">
      <alignment horizontal="center" vertical="center"/>
    </xf>
    <xf numFmtId="0" fontId="64" fillId="0" borderId="14" xfId="0" applyFont="1" applyBorder="1" applyAlignment="1">
      <alignment horizontal="center" vertical="center" wrapText="1"/>
    </xf>
    <xf numFmtId="0" fontId="55" fillId="0" borderId="14" xfId="0" applyFont="1" applyBorder="1" applyAlignment="1">
      <alignment horizontal="center" vertical="center" wrapText="1"/>
    </xf>
    <xf numFmtId="0" fontId="23" fillId="0" borderId="14" xfId="0" applyFont="1" applyBorder="1" applyAlignment="1">
      <alignment horizontal="left"/>
    </xf>
    <xf numFmtId="0" fontId="65" fillId="17" borderId="0" xfId="0" applyFont="1" applyFill="1" applyAlignment="1">
      <alignment horizontal="center" vertical="center" textRotation="90" wrapText="1" readingOrder="1"/>
    </xf>
    <xf numFmtId="0" fontId="65" fillId="17" borderId="5" xfId="0" applyFont="1" applyFill="1" applyBorder="1" applyAlignment="1">
      <alignment horizontal="center" vertical="center" textRotation="90" wrapText="1" readingOrder="1"/>
    </xf>
    <xf numFmtId="0" fontId="66" fillId="11" borderId="83" xfId="0" applyFont="1" applyFill="1" applyBorder="1" applyAlignment="1">
      <alignment horizontal="center" vertical="center" wrapText="1" readingOrder="1"/>
    </xf>
    <xf numFmtId="0" fontId="66" fillId="11" borderId="84" xfId="0" applyFont="1" applyFill="1" applyBorder="1" applyAlignment="1">
      <alignment horizontal="center" vertical="center" wrapText="1" readingOrder="1"/>
    </xf>
    <xf numFmtId="0" fontId="66" fillId="11" borderId="85" xfId="0" applyFont="1" applyFill="1" applyBorder="1" applyAlignment="1">
      <alignment horizontal="center" vertical="center" wrapText="1" readingOrder="1"/>
    </xf>
    <xf numFmtId="0" fontId="66" fillId="11" borderId="86" xfId="0" applyFont="1" applyFill="1" applyBorder="1" applyAlignment="1">
      <alignment horizontal="center" vertical="center" wrapText="1" readingOrder="1"/>
    </xf>
    <xf numFmtId="0" fontId="66" fillId="11" borderId="0" xfId="0" applyFont="1" applyFill="1" applyAlignment="1">
      <alignment horizontal="center" vertical="center" wrapText="1" readingOrder="1"/>
    </xf>
    <xf numFmtId="0" fontId="66" fillId="11" borderId="87" xfId="0" applyFont="1" applyFill="1" applyBorder="1" applyAlignment="1">
      <alignment horizontal="center" vertical="center" wrapText="1" readingOrder="1"/>
    </xf>
    <xf numFmtId="0" fontId="66" fillId="11" borderId="88" xfId="0" applyFont="1" applyFill="1" applyBorder="1" applyAlignment="1">
      <alignment horizontal="center" vertical="center" wrapText="1" readingOrder="1"/>
    </xf>
    <xf numFmtId="0" fontId="66" fillId="11" borderId="89" xfId="0" applyFont="1" applyFill="1" applyBorder="1" applyAlignment="1">
      <alignment horizontal="center" vertical="center" wrapText="1" readingOrder="1"/>
    </xf>
    <xf numFmtId="0" fontId="66" fillId="11" borderId="90" xfId="0" applyFont="1" applyFill="1" applyBorder="1" applyAlignment="1">
      <alignment horizontal="center" vertical="center" wrapText="1" readingOrder="1"/>
    </xf>
    <xf numFmtId="0" fontId="66" fillId="10" borderId="83" xfId="0" applyFont="1" applyFill="1" applyBorder="1" applyAlignment="1">
      <alignment horizontal="center" vertical="center" wrapText="1" readingOrder="1"/>
    </xf>
    <xf numFmtId="0" fontId="66" fillId="10" borderId="84" xfId="0" applyFont="1" applyFill="1" applyBorder="1" applyAlignment="1">
      <alignment horizontal="center" vertical="center" wrapText="1" readingOrder="1"/>
    </xf>
    <xf numFmtId="0" fontId="66" fillId="10" borderId="85" xfId="0" applyFont="1" applyFill="1" applyBorder="1" applyAlignment="1">
      <alignment horizontal="center" vertical="center" wrapText="1" readingOrder="1"/>
    </xf>
    <xf numFmtId="0" fontId="66" fillId="10" borderId="86" xfId="0" applyFont="1" applyFill="1" applyBorder="1" applyAlignment="1">
      <alignment horizontal="center" vertical="center" wrapText="1" readingOrder="1"/>
    </xf>
    <xf numFmtId="0" fontId="66" fillId="10" borderId="0" xfId="0" applyFont="1" applyFill="1" applyAlignment="1">
      <alignment horizontal="center" vertical="center" wrapText="1" readingOrder="1"/>
    </xf>
    <xf numFmtId="0" fontId="66" fillId="10" borderId="87" xfId="0" applyFont="1" applyFill="1" applyBorder="1" applyAlignment="1">
      <alignment horizontal="center" vertical="center" wrapText="1" readingOrder="1"/>
    </xf>
    <xf numFmtId="0" fontId="66" fillId="10" borderId="88" xfId="0" applyFont="1" applyFill="1" applyBorder="1" applyAlignment="1">
      <alignment horizontal="center" vertical="center" wrapText="1" readingOrder="1"/>
    </xf>
    <xf numFmtId="0" fontId="66" fillId="10" borderId="89" xfId="0" applyFont="1" applyFill="1" applyBorder="1" applyAlignment="1">
      <alignment horizontal="center" vertical="center" wrapText="1" readingOrder="1"/>
    </xf>
    <xf numFmtId="0" fontId="66" fillId="10" borderId="90" xfId="0" applyFont="1" applyFill="1" applyBorder="1" applyAlignment="1">
      <alignment horizontal="center" vertical="center" wrapText="1" readingOrder="1"/>
    </xf>
    <xf numFmtId="0" fontId="66" fillId="12" borderId="83" xfId="0" applyFont="1" applyFill="1" applyBorder="1" applyAlignment="1">
      <alignment horizontal="center" vertical="center" wrapText="1" readingOrder="1"/>
    </xf>
    <xf numFmtId="0" fontId="66" fillId="12" borderId="84" xfId="0" applyFont="1" applyFill="1" applyBorder="1" applyAlignment="1">
      <alignment horizontal="center" vertical="center" wrapText="1" readingOrder="1"/>
    </xf>
    <xf numFmtId="0" fontId="66" fillId="12" borderId="85" xfId="0" applyFont="1" applyFill="1" applyBorder="1" applyAlignment="1">
      <alignment horizontal="center" vertical="center" wrapText="1" readingOrder="1"/>
    </xf>
    <xf numFmtId="0" fontId="66" fillId="12" borderId="86" xfId="0" applyFont="1" applyFill="1" applyBorder="1" applyAlignment="1">
      <alignment horizontal="center" vertical="center" wrapText="1" readingOrder="1"/>
    </xf>
    <xf numFmtId="0" fontId="66" fillId="12" borderId="0" xfId="0" applyFont="1" applyFill="1" applyAlignment="1">
      <alignment horizontal="center" vertical="center" wrapText="1" readingOrder="1"/>
    </xf>
    <xf numFmtId="0" fontId="66" fillId="12" borderId="87" xfId="0" applyFont="1" applyFill="1" applyBorder="1" applyAlignment="1">
      <alignment horizontal="center" vertical="center" wrapText="1" readingOrder="1"/>
    </xf>
    <xf numFmtId="0" fontId="66" fillId="12" borderId="88" xfId="0" applyFont="1" applyFill="1" applyBorder="1" applyAlignment="1">
      <alignment horizontal="center" vertical="center" wrapText="1" readingOrder="1"/>
    </xf>
    <xf numFmtId="0" fontId="66" fillId="12" borderId="89" xfId="0" applyFont="1" applyFill="1" applyBorder="1" applyAlignment="1">
      <alignment horizontal="center" vertical="center" wrapText="1" readingOrder="1"/>
    </xf>
    <xf numFmtId="0" fontId="66" fillId="12" borderId="90" xfId="0" applyFont="1" applyFill="1" applyBorder="1" applyAlignment="1">
      <alignment horizontal="center" vertical="center" wrapText="1" readingOrder="1"/>
    </xf>
    <xf numFmtId="0" fontId="66" fillId="4" borderId="83" xfId="0" applyFont="1" applyFill="1" applyBorder="1" applyAlignment="1">
      <alignment horizontal="center" vertical="center" wrapText="1" readingOrder="1"/>
    </xf>
    <xf numFmtId="0" fontId="66" fillId="4" borderId="84" xfId="0" applyFont="1" applyFill="1" applyBorder="1" applyAlignment="1">
      <alignment horizontal="center" vertical="center" wrapText="1" readingOrder="1"/>
    </xf>
    <xf numFmtId="0" fontId="66" fillId="4" borderId="85" xfId="0" applyFont="1" applyFill="1" applyBorder="1" applyAlignment="1">
      <alignment horizontal="center" vertical="center" wrapText="1" readingOrder="1"/>
    </xf>
    <xf numFmtId="0" fontId="66" fillId="4" borderId="86" xfId="0" applyFont="1" applyFill="1" applyBorder="1" applyAlignment="1">
      <alignment horizontal="center" vertical="center" wrapText="1" readingOrder="1"/>
    </xf>
    <xf numFmtId="0" fontId="66" fillId="4" borderId="0" xfId="0" applyFont="1" applyFill="1" applyAlignment="1">
      <alignment horizontal="center" vertical="center" wrapText="1" readingOrder="1"/>
    </xf>
    <xf numFmtId="0" fontId="66" fillId="4" borderId="87" xfId="0" applyFont="1" applyFill="1" applyBorder="1" applyAlignment="1">
      <alignment horizontal="center" vertical="center" wrapText="1" readingOrder="1"/>
    </xf>
    <xf numFmtId="0" fontId="66" fillId="4" borderId="88" xfId="0" applyFont="1" applyFill="1" applyBorder="1" applyAlignment="1">
      <alignment horizontal="center" vertical="center" wrapText="1" readingOrder="1"/>
    </xf>
    <xf numFmtId="0" fontId="66" fillId="4" borderId="89" xfId="0" applyFont="1" applyFill="1" applyBorder="1" applyAlignment="1">
      <alignment horizontal="center" vertical="center" wrapText="1" readingOrder="1"/>
    </xf>
    <xf numFmtId="0" fontId="66" fillId="4" borderId="90" xfId="0" applyFont="1" applyFill="1" applyBorder="1" applyAlignment="1">
      <alignment horizontal="center" vertical="center" wrapText="1" readingOrder="1"/>
    </xf>
    <xf numFmtId="0" fontId="67" fillId="0" borderId="1" xfId="0" applyFont="1" applyBorder="1" applyAlignment="1">
      <alignment horizontal="center" vertical="center" wrapText="1"/>
    </xf>
    <xf numFmtId="0" fontId="67" fillId="0" borderId="2" xfId="0" applyFont="1" applyBorder="1" applyAlignment="1">
      <alignment horizontal="center" vertical="center"/>
    </xf>
    <xf numFmtId="0" fontId="67" fillId="0" borderId="3" xfId="0" applyFont="1" applyBorder="1" applyAlignment="1">
      <alignment horizontal="center" vertical="center"/>
    </xf>
    <xf numFmtId="0" fontId="67" fillId="0" borderId="4" xfId="0" applyFont="1" applyBorder="1" applyAlignment="1">
      <alignment horizontal="center" vertical="center"/>
    </xf>
    <xf numFmtId="0" fontId="67" fillId="0" borderId="0" xfId="0" applyFont="1" applyAlignment="1">
      <alignment horizontal="center" vertical="center"/>
    </xf>
    <xf numFmtId="0" fontId="67" fillId="0" borderId="5" xfId="0" applyFont="1" applyBorder="1" applyAlignment="1">
      <alignment horizontal="center" vertical="center"/>
    </xf>
    <xf numFmtId="0" fontId="67" fillId="0" borderId="6" xfId="0" applyFont="1" applyBorder="1" applyAlignment="1">
      <alignment horizontal="center" vertical="center"/>
    </xf>
    <xf numFmtId="0" fontId="67" fillId="0" borderId="7" xfId="0" applyFont="1" applyBorder="1" applyAlignment="1">
      <alignment horizontal="center" vertical="center"/>
    </xf>
    <xf numFmtId="0" fontId="67" fillId="0" borderId="8" xfId="0" applyFont="1" applyBorder="1" applyAlignment="1">
      <alignment horizontal="center" vertical="center"/>
    </xf>
    <xf numFmtId="0" fontId="68" fillId="10" borderId="1" xfId="0" applyFont="1" applyFill="1" applyBorder="1" applyAlignment="1" applyProtection="1">
      <alignment horizontal="center" vertical="center" wrapText="1" readingOrder="1"/>
      <protection hidden="1"/>
    </xf>
    <xf numFmtId="0" fontId="68" fillId="10" borderId="2" xfId="0" applyFont="1" applyFill="1" applyBorder="1" applyAlignment="1" applyProtection="1">
      <alignment horizontal="center" vertical="center" wrapText="1" readingOrder="1"/>
      <protection hidden="1"/>
    </xf>
    <xf numFmtId="0" fontId="68" fillId="10" borderId="4" xfId="0" applyFont="1" applyFill="1" applyBorder="1" applyAlignment="1" applyProtection="1">
      <alignment horizontal="center" vertical="center" wrapText="1" readingOrder="1"/>
      <protection hidden="1"/>
    </xf>
    <xf numFmtId="0" fontId="68" fillId="10" borderId="0" xfId="0" applyFont="1" applyFill="1" applyAlignment="1" applyProtection="1">
      <alignment horizontal="center" vertical="center" wrapText="1" readingOrder="1"/>
      <protection hidden="1"/>
    </xf>
    <xf numFmtId="0" fontId="68" fillId="10" borderId="3" xfId="0" applyFont="1" applyFill="1" applyBorder="1" applyAlignment="1" applyProtection="1">
      <alignment horizontal="center" vertical="center" wrapText="1" readingOrder="1"/>
      <protection hidden="1"/>
    </xf>
    <xf numFmtId="0" fontId="68" fillId="10" borderId="5" xfId="0" applyFont="1" applyFill="1" applyBorder="1" applyAlignment="1" applyProtection="1">
      <alignment horizontal="center" vertical="center" wrapText="1" readingOrder="1"/>
      <protection hidden="1"/>
    </xf>
    <xf numFmtId="0" fontId="68" fillId="12" borderId="4" xfId="0" applyFont="1" applyFill="1" applyBorder="1" applyAlignment="1" applyProtection="1">
      <alignment horizontal="center" wrapText="1" readingOrder="1"/>
      <protection hidden="1"/>
    </xf>
    <xf numFmtId="0" fontId="68" fillId="12" borderId="0" xfId="0" applyFont="1" applyFill="1" applyAlignment="1" applyProtection="1">
      <alignment horizontal="center" wrapText="1" readingOrder="1"/>
      <protection hidden="1"/>
    </xf>
    <xf numFmtId="0" fontId="68" fillId="12" borderId="5" xfId="0" applyFont="1" applyFill="1" applyBorder="1" applyAlignment="1" applyProtection="1">
      <alignment horizontal="center" wrapText="1" readingOrder="1"/>
      <protection hidden="1"/>
    </xf>
    <xf numFmtId="0" fontId="68" fillId="12" borderId="6" xfId="0" applyFont="1" applyFill="1" applyBorder="1" applyAlignment="1" applyProtection="1">
      <alignment horizontal="center" wrapText="1" readingOrder="1"/>
      <protection hidden="1"/>
    </xf>
    <xf numFmtId="0" fontId="68" fillId="12" borderId="7" xfId="0" applyFont="1" applyFill="1" applyBorder="1" applyAlignment="1" applyProtection="1">
      <alignment horizontal="center" wrapText="1" readingOrder="1"/>
      <protection hidden="1"/>
    </xf>
    <xf numFmtId="0" fontId="68" fillId="12" borderId="8" xfId="0" applyFont="1" applyFill="1" applyBorder="1" applyAlignment="1" applyProtection="1">
      <alignment horizontal="center" wrapText="1" readingOrder="1"/>
      <protection hidden="1"/>
    </xf>
    <xf numFmtId="0" fontId="68" fillId="12" borderId="1" xfId="0" applyFont="1" applyFill="1" applyBorder="1" applyAlignment="1" applyProtection="1">
      <alignment horizontal="center" wrapText="1" readingOrder="1"/>
      <protection hidden="1"/>
    </xf>
    <xf numFmtId="0" fontId="68" fillId="12" borderId="2" xfId="0" applyFont="1" applyFill="1" applyBorder="1" applyAlignment="1" applyProtection="1">
      <alignment horizontal="center" wrapText="1" readingOrder="1"/>
      <protection hidden="1"/>
    </xf>
    <xf numFmtId="0" fontId="68" fillId="12" borderId="3" xfId="0" applyFont="1" applyFill="1" applyBorder="1" applyAlignment="1" applyProtection="1">
      <alignment horizontal="center" wrapText="1" readingOrder="1"/>
      <protection hidden="1"/>
    </xf>
    <xf numFmtId="0" fontId="65" fillId="17" borderId="0" xfId="0" applyFont="1" applyFill="1" applyAlignment="1">
      <alignment horizontal="center" vertical="center" wrapText="1" readingOrder="1"/>
    </xf>
    <xf numFmtId="0" fontId="67" fillId="0" borderId="2" xfId="0" applyFont="1" applyBorder="1" applyAlignment="1">
      <alignment horizontal="center" vertical="center" wrapText="1"/>
    </xf>
    <xf numFmtId="0" fontId="68" fillId="10" borderId="6" xfId="0" applyFont="1" applyFill="1" applyBorder="1" applyAlignment="1" applyProtection="1">
      <alignment horizontal="center" vertical="center" wrapText="1" readingOrder="1"/>
      <protection hidden="1"/>
    </xf>
    <xf numFmtId="0" fontId="68" fillId="10" borderId="7" xfId="0" applyFont="1" applyFill="1" applyBorder="1" applyAlignment="1" applyProtection="1">
      <alignment horizontal="center" vertical="center" wrapText="1" readingOrder="1"/>
      <protection hidden="1"/>
    </xf>
    <xf numFmtId="0" fontId="68" fillId="10" borderId="8" xfId="0" applyFont="1" applyFill="1" applyBorder="1" applyAlignment="1" applyProtection="1">
      <alignment horizontal="center" vertical="center" wrapText="1" readingOrder="1"/>
      <protection hidden="1"/>
    </xf>
    <xf numFmtId="0" fontId="68" fillId="11" borderId="4" xfId="0" applyFont="1" applyFill="1" applyBorder="1" applyAlignment="1" applyProtection="1">
      <alignment horizontal="center" wrapText="1" readingOrder="1"/>
      <protection hidden="1"/>
    </xf>
    <xf numFmtId="0" fontId="68" fillId="11" borderId="0" xfId="0" applyFont="1" applyFill="1" applyAlignment="1" applyProtection="1">
      <alignment horizontal="center" wrapText="1" readingOrder="1"/>
      <protection hidden="1"/>
    </xf>
    <xf numFmtId="0" fontId="68" fillId="11" borderId="5" xfId="0" applyFont="1" applyFill="1" applyBorder="1" applyAlignment="1" applyProtection="1">
      <alignment horizontal="center" wrapText="1" readingOrder="1"/>
      <protection hidden="1"/>
    </xf>
    <xf numFmtId="0" fontId="68" fillId="11" borderId="6" xfId="0" applyFont="1" applyFill="1" applyBorder="1" applyAlignment="1" applyProtection="1">
      <alignment horizontal="center" wrapText="1" readingOrder="1"/>
      <protection hidden="1"/>
    </xf>
    <xf numFmtId="0" fontId="68" fillId="11" borderId="7" xfId="0" applyFont="1" applyFill="1" applyBorder="1" applyAlignment="1" applyProtection="1">
      <alignment horizontal="center" wrapText="1" readingOrder="1"/>
      <protection hidden="1"/>
    </xf>
    <xf numFmtId="0" fontId="68" fillId="11" borderId="8" xfId="0" applyFont="1" applyFill="1" applyBorder="1" applyAlignment="1" applyProtection="1">
      <alignment horizontal="center" wrapText="1" readingOrder="1"/>
      <protection hidden="1"/>
    </xf>
    <xf numFmtId="0" fontId="68" fillId="11" borderId="1" xfId="0" applyFont="1" applyFill="1" applyBorder="1" applyAlignment="1" applyProtection="1">
      <alignment horizontal="center" wrapText="1" readingOrder="1"/>
      <protection hidden="1"/>
    </xf>
    <xf numFmtId="0" fontId="68" fillId="11" borderId="2" xfId="0" applyFont="1" applyFill="1" applyBorder="1" applyAlignment="1" applyProtection="1">
      <alignment horizontal="center" wrapText="1" readingOrder="1"/>
      <protection hidden="1"/>
    </xf>
    <xf numFmtId="0" fontId="68" fillId="11" borderId="3" xfId="0" applyFont="1" applyFill="1" applyBorder="1" applyAlignment="1" applyProtection="1">
      <alignment horizontal="center" wrapText="1" readingOrder="1"/>
      <protection hidden="1"/>
    </xf>
    <xf numFmtId="0" fontId="68" fillId="4" borderId="0" xfId="0" applyFont="1" applyFill="1" applyAlignment="1" applyProtection="1">
      <alignment horizontal="center" wrapText="1" readingOrder="1"/>
      <protection hidden="1"/>
    </xf>
    <xf numFmtId="0" fontId="68" fillId="4" borderId="4" xfId="0" applyFont="1" applyFill="1" applyBorder="1" applyAlignment="1" applyProtection="1">
      <alignment horizontal="center" wrapText="1" readingOrder="1"/>
      <protection hidden="1"/>
    </xf>
    <xf numFmtId="0" fontId="68" fillId="4" borderId="5" xfId="0" applyFont="1" applyFill="1" applyBorder="1" applyAlignment="1" applyProtection="1">
      <alignment horizontal="center" wrapText="1" readingOrder="1"/>
      <protection hidden="1"/>
    </xf>
    <xf numFmtId="0" fontId="68" fillId="4" borderId="6" xfId="0" applyFont="1" applyFill="1" applyBorder="1" applyAlignment="1" applyProtection="1">
      <alignment horizontal="center" wrapText="1" readingOrder="1"/>
      <protection hidden="1"/>
    </xf>
    <xf numFmtId="0" fontId="68" fillId="4" borderId="7" xfId="0" applyFont="1" applyFill="1" applyBorder="1" applyAlignment="1" applyProtection="1">
      <alignment horizontal="center" wrapText="1" readingOrder="1"/>
      <protection hidden="1"/>
    </xf>
    <xf numFmtId="0" fontId="68" fillId="4" borderId="8" xfId="0" applyFont="1" applyFill="1" applyBorder="1" applyAlignment="1" applyProtection="1">
      <alignment horizontal="center" wrapText="1" readingOrder="1"/>
      <protection hidden="1"/>
    </xf>
    <xf numFmtId="0" fontId="68" fillId="4" borderId="1" xfId="0" applyFont="1" applyFill="1" applyBorder="1" applyAlignment="1" applyProtection="1">
      <alignment horizontal="center" wrapText="1" readingOrder="1"/>
      <protection hidden="1"/>
    </xf>
    <xf numFmtId="0" fontId="68" fillId="4" borderId="2" xfId="0" applyFont="1" applyFill="1" applyBorder="1" applyAlignment="1" applyProtection="1">
      <alignment horizontal="center" wrapText="1" readingOrder="1"/>
      <protection hidden="1"/>
    </xf>
    <xf numFmtId="0" fontId="68" fillId="4" borderId="3" xfId="0" applyFont="1" applyFill="1" applyBorder="1" applyAlignment="1" applyProtection="1">
      <alignment horizontal="center" wrapText="1" readingOrder="1"/>
      <protection hidden="1"/>
    </xf>
    <xf numFmtId="0" fontId="52" fillId="0" borderId="0" xfId="0" applyFont="1" applyAlignment="1">
      <alignment horizontal="center" vertical="center" wrapText="1"/>
    </xf>
    <xf numFmtId="0" fontId="69" fillId="10" borderId="83" xfId="0" applyFont="1" applyFill="1" applyBorder="1" applyAlignment="1">
      <alignment horizontal="center" vertical="center" wrapText="1" readingOrder="1"/>
    </xf>
    <xf numFmtId="0" fontId="69" fillId="10" borderId="84" xfId="0" applyFont="1" applyFill="1" applyBorder="1" applyAlignment="1">
      <alignment horizontal="center" vertical="center" wrapText="1" readingOrder="1"/>
    </xf>
    <xf numFmtId="0" fontId="69" fillId="10" borderId="85" xfId="0" applyFont="1" applyFill="1" applyBorder="1" applyAlignment="1">
      <alignment horizontal="center" vertical="center" wrapText="1" readingOrder="1"/>
    </xf>
    <xf numFmtId="0" fontId="69" fillId="10" borderId="86" xfId="0" applyFont="1" applyFill="1" applyBorder="1" applyAlignment="1">
      <alignment horizontal="center" vertical="center" wrapText="1" readingOrder="1"/>
    </xf>
    <xf numFmtId="0" fontId="69" fillId="10" borderId="0" xfId="0" applyFont="1" applyFill="1" applyAlignment="1">
      <alignment horizontal="center" vertical="center" wrapText="1" readingOrder="1"/>
    </xf>
    <xf numFmtId="0" fontId="69" fillId="10" borderId="87" xfId="0" applyFont="1" applyFill="1" applyBorder="1" applyAlignment="1">
      <alignment horizontal="center" vertical="center" wrapText="1" readingOrder="1"/>
    </xf>
    <xf numFmtId="0" fontId="69" fillId="10" borderId="88" xfId="0" applyFont="1" applyFill="1" applyBorder="1" applyAlignment="1">
      <alignment horizontal="center" vertical="center" wrapText="1" readingOrder="1"/>
    </xf>
    <xf numFmtId="0" fontId="69" fillId="10" borderId="89" xfId="0" applyFont="1" applyFill="1" applyBorder="1" applyAlignment="1">
      <alignment horizontal="center" vertical="center" wrapText="1" readingOrder="1"/>
    </xf>
    <xf numFmtId="0" fontId="69" fillId="10" borderId="90" xfId="0" applyFont="1" applyFill="1" applyBorder="1" applyAlignment="1">
      <alignment horizontal="center" vertical="center" wrapText="1" readingOrder="1"/>
    </xf>
    <xf numFmtId="0" fontId="70" fillId="0" borderId="1" xfId="0" applyFont="1" applyBorder="1" applyAlignment="1">
      <alignment horizontal="center" vertical="center" wrapText="1"/>
    </xf>
    <xf numFmtId="0" fontId="70" fillId="0" borderId="2" xfId="0" applyFont="1" applyBorder="1" applyAlignment="1">
      <alignment horizontal="center" vertical="center"/>
    </xf>
    <xf numFmtId="0" fontId="70" fillId="0" borderId="4" xfId="0" applyFont="1" applyBorder="1" applyAlignment="1">
      <alignment horizontal="center" vertical="center" wrapText="1"/>
    </xf>
    <xf numFmtId="0" fontId="70" fillId="0" borderId="0" xfId="0" applyFont="1" applyAlignment="1">
      <alignment horizontal="center" vertical="center"/>
    </xf>
    <xf numFmtId="0" fontId="70" fillId="0" borderId="4" xfId="0" applyFont="1" applyBorder="1" applyAlignment="1">
      <alignment horizontal="center" vertical="center"/>
    </xf>
    <xf numFmtId="0" fontId="70" fillId="0" borderId="6" xfId="0" applyFont="1" applyBorder="1" applyAlignment="1">
      <alignment horizontal="center" vertical="center"/>
    </xf>
    <xf numFmtId="0" fontId="70" fillId="0" borderId="7" xfId="0" applyFont="1" applyBorder="1" applyAlignment="1">
      <alignment horizontal="center" vertical="center"/>
    </xf>
    <xf numFmtId="0" fontId="69" fillId="11" borderId="83" xfId="0" applyFont="1" applyFill="1" applyBorder="1" applyAlignment="1">
      <alignment horizontal="center" vertical="center" wrapText="1" readingOrder="1"/>
    </xf>
    <xf numFmtId="0" fontId="69" fillId="11" borderId="84" xfId="0" applyFont="1" applyFill="1" applyBorder="1" applyAlignment="1">
      <alignment horizontal="center" vertical="center" wrapText="1" readingOrder="1"/>
    </xf>
    <xf numFmtId="0" fontId="69" fillId="11" borderId="85" xfId="0" applyFont="1" applyFill="1" applyBorder="1" applyAlignment="1">
      <alignment horizontal="center" vertical="center" wrapText="1" readingOrder="1"/>
    </xf>
    <xf numFmtId="0" fontId="69" fillId="11" borderId="86" xfId="0" applyFont="1" applyFill="1" applyBorder="1" applyAlignment="1">
      <alignment horizontal="center" vertical="center" wrapText="1" readingOrder="1"/>
    </xf>
    <xf numFmtId="0" fontId="69" fillId="11" borderId="0" xfId="0" applyFont="1" applyFill="1" applyAlignment="1">
      <alignment horizontal="center" vertical="center" wrapText="1" readingOrder="1"/>
    </xf>
    <xf numFmtId="0" fontId="69" fillId="11" borderId="87" xfId="0" applyFont="1" applyFill="1" applyBorder="1" applyAlignment="1">
      <alignment horizontal="center" vertical="center" wrapText="1" readingOrder="1"/>
    </xf>
    <xf numFmtId="0" fontId="69" fillId="11" borderId="88" xfId="0" applyFont="1" applyFill="1" applyBorder="1" applyAlignment="1">
      <alignment horizontal="center" vertical="center" wrapText="1" readingOrder="1"/>
    </xf>
    <xf numFmtId="0" fontId="69" fillId="11" borderId="89" xfId="0" applyFont="1" applyFill="1" applyBorder="1" applyAlignment="1">
      <alignment horizontal="center" vertical="center" wrapText="1" readingOrder="1"/>
    </xf>
    <xf numFmtId="0" fontId="69" fillId="11" borderId="90" xfId="0" applyFont="1" applyFill="1" applyBorder="1" applyAlignment="1">
      <alignment horizontal="center" vertical="center" wrapText="1" readingOrder="1"/>
    </xf>
    <xf numFmtId="0" fontId="71" fillId="0" borderId="0" xfId="0" applyFont="1" applyAlignment="1">
      <alignment horizontal="center" vertical="center" wrapText="1"/>
    </xf>
    <xf numFmtId="0" fontId="72" fillId="0" borderId="0" xfId="0" applyFont="1" applyAlignment="1">
      <alignment horizontal="center" vertical="center" wrapText="1"/>
    </xf>
    <xf numFmtId="0" fontId="70" fillId="0" borderId="3" xfId="0" applyFont="1" applyBorder="1" applyAlignment="1">
      <alignment horizontal="center" vertical="center"/>
    </xf>
    <xf numFmtId="0" fontId="70" fillId="0" borderId="5" xfId="0" applyFont="1" applyBorder="1" applyAlignment="1">
      <alignment horizontal="center" vertical="center"/>
    </xf>
    <xf numFmtId="0" fontId="70" fillId="0" borderId="8" xfId="0" applyFont="1" applyBorder="1" applyAlignment="1">
      <alignment horizontal="center" vertical="center"/>
    </xf>
    <xf numFmtId="0" fontId="69" fillId="4" borderId="83" xfId="0" applyFont="1" applyFill="1" applyBorder="1" applyAlignment="1">
      <alignment horizontal="center" vertical="center" wrapText="1" readingOrder="1"/>
    </xf>
    <xf numFmtId="0" fontId="69" fillId="4" borderId="84" xfId="0" applyFont="1" applyFill="1" applyBorder="1" applyAlignment="1">
      <alignment horizontal="center" vertical="center" wrapText="1" readingOrder="1"/>
    </xf>
    <xf numFmtId="0" fontId="69" fillId="4" borderId="85" xfId="0" applyFont="1" applyFill="1" applyBorder="1" applyAlignment="1">
      <alignment horizontal="center" vertical="center" wrapText="1" readingOrder="1"/>
    </xf>
    <xf numFmtId="0" fontId="69" fillId="4" borderId="86" xfId="0" applyFont="1" applyFill="1" applyBorder="1" applyAlignment="1">
      <alignment horizontal="center" vertical="center" wrapText="1" readingOrder="1"/>
    </xf>
    <xf numFmtId="0" fontId="69" fillId="4" borderId="0" xfId="0" applyFont="1" applyFill="1" applyAlignment="1">
      <alignment horizontal="center" vertical="center" wrapText="1" readingOrder="1"/>
    </xf>
    <xf numFmtId="0" fontId="69" fillId="4" borderId="87" xfId="0" applyFont="1" applyFill="1" applyBorder="1" applyAlignment="1">
      <alignment horizontal="center" vertical="center" wrapText="1" readingOrder="1"/>
    </xf>
    <xf numFmtId="0" fontId="69" fillId="4" borderId="88" xfId="0" applyFont="1" applyFill="1" applyBorder="1" applyAlignment="1">
      <alignment horizontal="center" vertical="center" wrapText="1" readingOrder="1"/>
    </xf>
    <xf numFmtId="0" fontId="69" fillId="4" borderId="89" xfId="0" applyFont="1" applyFill="1" applyBorder="1" applyAlignment="1">
      <alignment horizontal="center" vertical="center" wrapText="1" readingOrder="1"/>
    </xf>
    <xf numFmtId="0" fontId="69" fillId="4" borderId="90" xfId="0" applyFont="1" applyFill="1" applyBorder="1" applyAlignment="1">
      <alignment horizontal="center" vertical="center" wrapText="1" readingOrder="1"/>
    </xf>
    <xf numFmtId="0" fontId="69" fillId="12" borderId="83" xfId="0" applyFont="1" applyFill="1" applyBorder="1" applyAlignment="1">
      <alignment horizontal="center" vertical="center" wrapText="1" readingOrder="1"/>
    </xf>
    <xf numFmtId="0" fontId="69" fillId="12" borderId="84" xfId="0" applyFont="1" applyFill="1" applyBorder="1" applyAlignment="1">
      <alignment horizontal="center" vertical="center" wrapText="1" readingOrder="1"/>
    </xf>
    <xf numFmtId="0" fontId="69" fillId="12" borderId="85" xfId="0" applyFont="1" applyFill="1" applyBorder="1" applyAlignment="1">
      <alignment horizontal="center" vertical="center" wrapText="1" readingOrder="1"/>
    </xf>
    <xf numFmtId="0" fontId="69" fillId="12" borderId="86" xfId="0" applyFont="1" applyFill="1" applyBorder="1" applyAlignment="1">
      <alignment horizontal="center" vertical="center" wrapText="1" readingOrder="1"/>
    </xf>
    <xf numFmtId="0" fontId="69" fillId="12" borderId="0" xfId="0" applyFont="1" applyFill="1" applyAlignment="1">
      <alignment horizontal="center" vertical="center" wrapText="1" readingOrder="1"/>
    </xf>
    <xf numFmtId="0" fontId="69" fillId="12" borderId="87" xfId="0" applyFont="1" applyFill="1" applyBorder="1" applyAlignment="1">
      <alignment horizontal="center" vertical="center" wrapText="1" readingOrder="1"/>
    </xf>
    <xf numFmtId="0" fontId="69" fillId="12" borderId="88" xfId="0" applyFont="1" applyFill="1" applyBorder="1" applyAlignment="1">
      <alignment horizontal="center" vertical="center" wrapText="1" readingOrder="1"/>
    </xf>
    <xf numFmtId="0" fontId="69" fillId="12" borderId="89" xfId="0" applyFont="1" applyFill="1" applyBorder="1" applyAlignment="1">
      <alignment horizontal="center" vertical="center" wrapText="1" readingOrder="1"/>
    </xf>
    <xf numFmtId="0" fontId="69" fillId="12" borderId="90" xfId="0" applyFont="1" applyFill="1" applyBorder="1" applyAlignment="1">
      <alignment horizontal="center" vertical="center" wrapText="1" readingOrder="1"/>
    </xf>
    <xf numFmtId="0" fontId="70" fillId="0" borderId="2" xfId="0" applyFont="1" applyBorder="1" applyAlignment="1">
      <alignment horizontal="center" vertical="center" wrapText="1"/>
    </xf>
    <xf numFmtId="0" fontId="73" fillId="0" borderId="0" xfId="0" applyFont="1" applyAlignment="1">
      <alignment horizontal="center" vertical="center"/>
    </xf>
    <xf numFmtId="0" fontId="74" fillId="0" borderId="0" xfId="0" applyFont="1" applyAlignment="1">
      <alignment horizontal="center" vertical="center"/>
    </xf>
    <xf numFmtId="0" fontId="75" fillId="13" borderId="45" xfId="0" applyFont="1" applyFill="1" applyBorder="1" applyAlignment="1">
      <alignment horizontal="center" vertical="center" wrapText="1" readingOrder="1"/>
    </xf>
    <xf numFmtId="0" fontId="75" fillId="13" borderId="46" xfId="0" applyFont="1" applyFill="1" applyBorder="1" applyAlignment="1">
      <alignment horizontal="center" vertical="center" wrapText="1" readingOrder="1"/>
    </xf>
    <xf numFmtId="0" fontId="75" fillId="13" borderId="47" xfId="0" applyFont="1" applyFill="1" applyBorder="1" applyAlignment="1">
      <alignment horizontal="center" vertical="center" wrapText="1" readingOrder="1"/>
    </xf>
    <xf numFmtId="0" fontId="76" fillId="9" borderId="0" xfId="0" applyFont="1" applyFill="1" applyAlignment="1">
      <alignment horizontal="justify" vertical="center" wrapText="1"/>
    </xf>
    <xf numFmtId="0" fontId="49" fillId="13" borderId="48" xfId="0" applyFont="1" applyFill="1" applyBorder="1" applyAlignment="1">
      <alignment horizontal="center" vertical="center" wrapText="1" readingOrder="1"/>
    </xf>
    <xf numFmtId="0" fontId="49" fillId="13" borderId="18" xfId="0" applyFont="1" applyFill="1" applyBorder="1" applyAlignment="1">
      <alignment horizontal="center" vertical="center" wrapText="1" readingOrder="1"/>
    </xf>
    <xf numFmtId="0" fontId="49" fillId="9" borderId="49" xfId="0" applyFont="1" applyFill="1" applyBorder="1" applyAlignment="1">
      <alignment horizontal="center" vertical="center" wrapText="1" readingOrder="1"/>
    </xf>
    <xf numFmtId="0" fontId="49" fillId="9" borderId="50" xfId="0" applyFont="1" applyFill="1" applyBorder="1" applyAlignment="1">
      <alignment horizontal="center" vertical="center" wrapText="1" readingOrder="1"/>
    </xf>
    <xf numFmtId="0" fontId="49" fillId="9" borderId="12" xfId="0" applyFont="1" applyFill="1" applyBorder="1" applyAlignment="1">
      <alignment horizontal="center" vertical="center" wrapText="1" readingOrder="1"/>
    </xf>
    <xf numFmtId="0" fontId="49" fillId="9" borderId="14" xfId="0" applyFont="1" applyFill="1" applyBorder="1" applyAlignment="1">
      <alignment horizontal="center" vertical="center" wrapText="1" readingOrder="1"/>
    </xf>
    <xf numFmtId="0" fontId="49" fillId="9" borderId="51" xfId="0" applyFont="1" applyFill="1" applyBorder="1" applyAlignment="1">
      <alignment horizontal="center" vertical="center" wrapText="1" readingOrder="1"/>
    </xf>
    <xf numFmtId="0" fontId="49" fillId="9" borderId="16" xfId="0" applyFont="1" applyFill="1" applyBorder="1" applyAlignment="1">
      <alignment horizontal="center" vertical="center" wrapText="1" readingOrder="1"/>
    </xf>
  </cellXfs>
  <cellStyles count="6">
    <cellStyle name="Millares" xfId="1" builtinId="3"/>
    <cellStyle name="Normal" xfId="0" builtinId="0"/>
    <cellStyle name="Normal - Style1 2" xfId="2" xr:uid="{C73C3483-D17A-C843-8927-2C1CFC6198C1}"/>
    <cellStyle name="Normal 2" xfId="3" xr:uid="{89B5E307-5A81-B24B-A9A3-E7D64940A625}"/>
    <cellStyle name="Normal 2 2" xfId="4" xr:uid="{3698E3C3-7370-7B42-AB2F-5217F0BFA7D8}"/>
    <cellStyle name="Porcentaje" xfId="5" builtinId="5"/>
  </cellStyles>
  <dxfs count="19">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330200</xdr:colOff>
      <xdr:row>0</xdr:row>
      <xdr:rowOff>25400</xdr:rowOff>
    </xdr:from>
    <xdr:to>
      <xdr:col>1</xdr:col>
      <xdr:colOff>0</xdr:colOff>
      <xdr:row>3</xdr:row>
      <xdr:rowOff>165100</xdr:rowOff>
    </xdr:to>
    <xdr:pic>
      <xdr:nvPicPr>
        <xdr:cNvPr id="1479" name="2 Imagen">
          <a:extLst>
            <a:ext uri="{FF2B5EF4-FFF2-40B4-BE49-F238E27FC236}">
              <a16:creationId xmlns:a16="http://schemas.microsoft.com/office/drawing/2014/main" id="{E2817E68-2A30-B176-FF4C-0D97FFC01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3472" t="30865" r="3032" b="46181"/>
        <a:stretch>
          <a:fillRect/>
        </a:stretch>
      </xdr:blipFill>
      <xdr:spPr bwMode="auto">
        <a:xfrm>
          <a:off x="0" y="25400"/>
          <a:ext cx="13843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139700</xdr:rowOff>
    </xdr:from>
    <xdr:to>
      <xdr:col>0</xdr:col>
      <xdr:colOff>711200</xdr:colOff>
      <xdr:row>3</xdr:row>
      <xdr:rowOff>25400</xdr:rowOff>
    </xdr:to>
    <xdr:pic>
      <xdr:nvPicPr>
        <xdr:cNvPr id="2442" name="2 Imagen" descr="D:\copia escritorio\2017\LOGO DIRECCION DE TRANSITO DE BUCARAMANGA.png">
          <a:extLst>
            <a:ext uri="{FF2B5EF4-FFF2-40B4-BE49-F238E27FC236}">
              <a16:creationId xmlns:a16="http://schemas.microsoft.com/office/drawing/2014/main" id="{746DC41B-419A-1C51-179C-FBE26773E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39700"/>
          <a:ext cx="6350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4" refreshedVersion="4" minRefreshableVersion="3" recordCount="10" xr:uid="{1F63F075-6D24-4447-99C2-FB8490623D9B}">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8DA7D14-D1BA-6F41-B38B-813DDEFE500B}"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2792DB-5155-024B-B364-23BD05094DD0}" name="Tabla1" displayName="Tabla1" ref="B209:C219" totalsRowShown="0" headerRowDxfId="18" dataDxfId="17">
  <autoFilter ref="B209:C219" xr:uid="{E82B66D9-C719-6A40-93D0-2D2DCF1A7918}"/>
  <tableColumns count="2">
    <tableColumn id="1" xr3:uid="{00000000-0010-0000-0100-000001000000}" name="Criterios" dataDxfId="16"/>
    <tableColumn id="2" xr3:uid="{00000000-0010-0000-0100-000002000000}" name="Subcriterios" dataDxfId="1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EC35B-AF97-D140-A628-F8EDDFF4C220}">
  <dimension ref="B1:H45"/>
  <sheetViews>
    <sheetView zoomScale="110" zoomScaleNormal="110" workbookViewId="0">
      <selection activeCell="C36" sqref="C36:D36"/>
    </sheetView>
  </sheetViews>
  <sheetFormatPr baseColWidth="10" defaultColWidth="11.42578125" defaultRowHeight="15" x14ac:dyDescent="0.25"/>
  <cols>
    <col min="1" max="1" width="2.85546875" style="74" customWidth="1"/>
    <col min="2" max="3" width="24.7109375" style="74" customWidth="1"/>
    <col min="4" max="4" width="16" style="74" customWidth="1"/>
    <col min="5" max="5" width="24.7109375" style="74" customWidth="1"/>
    <col min="6" max="6" width="27.7109375" style="74" customWidth="1"/>
    <col min="7" max="8" width="24.7109375" style="74" customWidth="1"/>
    <col min="9" max="16384" width="11.42578125" style="74"/>
  </cols>
  <sheetData>
    <row r="1" spans="2:8" ht="15.75" thickBot="1" x14ac:dyDescent="0.3"/>
    <row r="2" spans="2:8" ht="18" x14ac:dyDescent="0.25">
      <c r="B2" s="219" t="s">
        <v>163</v>
      </c>
      <c r="C2" s="220"/>
      <c r="D2" s="220"/>
      <c r="E2" s="220"/>
      <c r="F2" s="220"/>
      <c r="G2" s="220"/>
      <c r="H2" s="221"/>
    </row>
    <row r="3" spans="2:8" x14ac:dyDescent="0.25">
      <c r="B3" s="75"/>
      <c r="C3" s="76"/>
      <c r="D3" s="76"/>
      <c r="E3" s="76"/>
      <c r="F3" s="76"/>
      <c r="G3" s="76"/>
      <c r="H3" s="77"/>
    </row>
    <row r="4" spans="2:8" ht="63" customHeight="1" x14ac:dyDescent="0.25">
      <c r="B4" s="222" t="s">
        <v>206</v>
      </c>
      <c r="C4" s="223"/>
      <c r="D4" s="223"/>
      <c r="E4" s="223"/>
      <c r="F4" s="223"/>
      <c r="G4" s="223"/>
      <c r="H4" s="224"/>
    </row>
    <row r="5" spans="2:8" ht="63" customHeight="1" x14ac:dyDescent="0.25">
      <c r="B5" s="225"/>
      <c r="C5" s="226"/>
      <c r="D5" s="226"/>
      <c r="E5" s="226"/>
      <c r="F5" s="226"/>
      <c r="G5" s="226"/>
      <c r="H5" s="227"/>
    </row>
    <row r="6" spans="2:8" ht="16.5" x14ac:dyDescent="0.25">
      <c r="B6" s="228" t="s">
        <v>161</v>
      </c>
      <c r="C6" s="229"/>
      <c r="D6" s="229"/>
      <c r="E6" s="229"/>
      <c r="F6" s="229"/>
      <c r="G6" s="229"/>
      <c r="H6" s="230"/>
    </row>
    <row r="7" spans="2:8" ht="95.25" customHeight="1" x14ac:dyDescent="0.25">
      <c r="B7" s="238" t="s">
        <v>166</v>
      </c>
      <c r="C7" s="239"/>
      <c r="D7" s="239"/>
      <c r="E7" s="239"/>
      <c r="F7" s="239"/>
      <c r="G7" s="239"/>
      <c r="H7" s="240"/>
    </row>
    <row r="8" spans="2:8" ht="16.5" x14ac:dyDescent="0.25">
      <c r="B8" s="111"/>
      <c r="C8" s="112"/>
      <c r="D8" s="112"/>
      <c r="E8" s="112"/>
      <c r="F8" s="112"/>
      <c r="G8" s="112"/>
      <c r="H8" s="113"/>
    </row>
    <row r="9" spans="2:8" ht="16.5" customHeight="1" x14ac:dyDescent="0.25">
      <c r="B9" s="231" t="s">
        <v>199</v>
      </c>
      <c r="C9" s="232"/>
      <c r="D9" s="232"/>
      <c r="E9" s="232"/>
      <c r="F9" s="232"/>
      <c r="G9" s="232"/>
      <c r="H9" s="233"/>
    </row>
    <row r="10" spans="2:8" ht="44.25" customHeight="1" x14ac:dyDescent="0.25">
      <c r="B10" s="231"/>
      <c r="C10" s="232"/>
      <c r="D10" s="232"/>
      <c r="E10" s="232"/>
      <c r="F10" s="232"/>
      <c r="G10" s="232"/>
      <c r="H10" s="233"/>
    </row>
    <row r="11" spans="2:8" ht="15.75" thickBot="1" x14ac:dyDescent="0.3">
      <c r="B11" s="100"/>
      <c r="C11" s="103"/>
      <c r="D11" s="108"/>
      <c r="E11" s="109"/>
      <c r="F11" s="109"/>
      <c r="G11" s="110"/>
      <c r="H11" s="104"/>
    </row>
    <row r="12" spans="2:8" ht="15.75" thickTop="1" x14ac:dyDescent="0.25">
      <c r="B12" s="100"/>
      <c r="C12" s="234" t="s">
        <v>162</v>
      </c>
      <c r="D12" s="235"/>
      <c r="E12" s="236" t="s">
        <v>200</v>
      </c>
      <c r="F12" s="237"/>
      <c r="G12" s="103"/>
      <c r="H12" s="104"/>
    </row>
    <row r="13" spans="2:8" ht="35.25" customHeight="1" x14ac:dyDescent="0.25">
      <c r="B13" s="100"/>
      <c r="C13" s="202" t="s">
        <v>193</v>
      </c>
      <c r="D13" s="203"/>
      <c r="E13" s="204" t="s">
        <v>198</v>
      </c>
      <c r="F13" s="205"/>
      <c r="G13" s="103"/>
      <c r="H13" s="104"/>
    </row>
    <row r="14" spans="2:8" ht="17.25" customHeight="1" x14ac:dyDescent="0.25">
      <c r="B14" s="100"/>
      <c r="C14" s="202" t="s">
        <v>194</v>
      </c>
      <c r="D14" s="203"/>
      <c r="E14" s="204" t="s">
        <v>196</v>
      </c>
      <c r="F14" s="205"/>
      <c r="G14" s="103"/>
      <c r="H14" s="104"/>
    </row>
    <row r="15" spans="2:8" ht="19.5" customHeight="1" x14ac:dyDescent="0.25">
      <c r="B15" s="100"/>
      <c r="C15" s="202" t="s">
        <v>195</v>
      </c>
      <c r="D15" s="203"/>
      <c r="E15" s="204" t="s">
        <v>197</v>
      </c>
      <c r="F15" s="205"/>
      <c r="G15" s="103"/>
      <c r="H15" s="104"/>
    </row>
    <row r="16" spans="2:8" ht="69.75" customHeight="1" x14ac:dyDescent="0.25">
      <c r="B16" s="100"/>
      <c r="C16" s="202" t="s">
        <v>164</v>
      </c>
      <c r="D16" s="203"/>
      <c r="E16" s="204" t="s">
        <v>165</v>
      </c>
      <c r="F16" s="205"/>
      <c r="G16" s="103"/>
      <c r="H16" s="104"/>
    </row>
    <row r="17" spans="2:8" ht="34.5" customHeight="1" x14ac:dyDescent="0.25">
      <c r="B17" s="100"/>
      <c r="C17" s="208" t="s">
        <v>2</v>
      </c>
      <c r="D17" s="209"/>
      <c r="E17" s="206" t="s">
        <v>207</v>
      </c>
      <c r="F17" s="207"/>
      <c r="G17" s="103"/>
      <c r="H17" s="104"/>
    </row>
    <row r="18" spans="2:8" ht="27.75" customHeight="1" x14ac:dyDescent="0.25">
      <c r="B18" s="100"/>
      <c r="C18" s="208" t="s">
        <v>3</v>
      </c>
      <c r="D18" s="209"/>
      <c r="E18" s="206" t="s">
        <v>208</v>
      </c>
      <c r="F18" s="207"/>
      <c r="G18" s="103"/>
      <c r="H18" s="104"/>
    </row>
    <row r="19" spans="2:8" ht="28.5" customHeight="1" x14ac:dyDescent="0.25">
      <c r="B19" s="100"/>
      <c r="C19" s="208" t="s">
        <v>42</v>
      </c>
      <c r="D19" s="209"/>
      <c r="E19" s="206" t="s">
        <v>209</v>
      </c>
      <c r="F19" s="207"/>
      <c r="G19" s="103"/>
      <c r="H19" s="104"/>
    </row>
    <row r="20" spans="2:8" ht="72.75" customHeight="1" x14ac:dyDescent="0.25">
      <c r="B20" s="100"/>
      <c r="C20" s="208" t="s">
        <v>1</v>
      </c>
      <c r="D20" s="209"/>
      <c r="E20" s="206" t="s">
        <v>210</v>
      </c>
      <c r="F20" s="207"/>
      <c r="G20" s="103"/>
      <c r="H20" s="104"/>
    </row>
    <row r="21" spans="2:8" ht="64.5" customHeight="1" x14ac:dyDescent="0.25">
      <c r="B21" s="100"/>
      <c r="C21" s="208" t="s">
        <v>49</v>
      </c>
      <c r="D21" s="209"/>
      <c r="E21" s="206" t="s">
        <v>168</v>
      </c>
      <c r="F21" s="207"/>
      <c r="G21" s="103"/>
      <c r="H21" s="104"/>
    </row>
    <row r="22" spans="2:8" ht="71.25" customHeight="1" x14ac:dyDescent="0.25">
      <c r="B22" s="100"/>
      <c r="C22" s="208" t="s">
        <v>167</v>
      </c>
      <c r="D22" s="209"/>
      <c r="E22" s="206" t="s">
        <v>169</v>
      </c>
      <c r="F22" s="207"/>
      <c r="G22" s="103"/>
      <c r="H22" s="104"/>
    </row>
    <row r="23" spans="2:8" ht="55.5" customHeight="1" x14ac:dyDescent="0.25">
      <c r="B23" s="100"/>
      <c r="C23" s="217" t="s">
        <v>170</v>
      </c>
      <c r="D23" s="218"/>
      <c r="E23" s="206" t="s">
        <v>171</v>
      </c>
      <c r="F23" s="207"/>
      <c r="G23" s="103"/>
      <c r="H23" s="104"/>
    </row>
    <row r="24" spans="2:8" ht="42" customHeight="1" x14ac:dyDescent="0.25">
      <c r="B24" s="100"/>
      <c r="C24" s="217" t="s">
        <v>47</v>
      </c>
      <c r="D24" s="218"/>
      <c r="E24" s="206" t="s">
        <v>172</v>
      </c>
      <c r="F24" s="207"/>
      <c r="G24" s="103"/>
      <c r="H24" s="104"/>
    </row>
    <row r="25" spans="2:8" ht="59.25" customHeight="1" x14ac:dyDescent="0.25">
      <c r="B25" s="100"/>
      <c r="C25" s="217" t="s">
        <v>160</v>
      </c>
      <c r="D25" s="218"/>
      <c r="E25" s="206" t="s">
        <v>173</v>
      </c>
      <c r="F25" s="207"/>
      <c r="G25" s="103"/>
      <c r="H25" s="104"/>
    </row>
    <row r="26" spans="2:8" ht="23.25" customHeight="1" x14ac:dyDescent="0.25">
      <c r="B26" s="100"/>
      <c r="C26" s="217" t="s">
        <v>12</v>
      </c>
      <c r="D26" s="218"/>
      <c r="E26" s="206" t="s">
        <v>174</v>
      </c>
      <c r="F26" s="207"/>
      <c r="G26" s="103"/>
      <c r="H26" s="104"/>
    </row>
    <row r="27" spans="2:8" ht="30.75" customHeight="1" x14ac:dyDescent="0.25">
      <c r="B27" s="100"/>
      <c r="C27" s="217" t="s">
        <v>178</v>
      </c>
      <c r="D27" s="218"/>
      <c r="E27" s="206" t="s">
        <v>175</v>
      </c>
      <c r="F27" s="207"/>
      <c r="G27" s="103"/>
      <c r="H27" s="104"/>
    </row>
    <row r="28" spans="2:8" ht="35.25" customHeight="1" x14ac:dyDescent="0.25">
      <c r="B28" s="100"/>
      <c r="C28" s="217" t="s">
        <v>179</v>
      </c>
      <c r="D28" s="218"/>
      <c r="E28" s="206" t="s">
        <v>176</v>
      </c>
      <c r="F28" s="207"/>
      <c r="G28" s="103"/>
      <c r="H28" s="104"/>
    </row>
    <row r="29" spans="2:8" ht="33" customHeight="1" x14ac:dyDescent="0.25">
      <c r="B29" s="100"/>
      <c r="C29" s="217" t="s">
        <v>179</v>
      </c>
      <c r="D29" s="218"/>
      <c r="E29" s="206" t="s">
        <v>176</v>
      </c>
      <c r="F29" s="207"/>
      <c r="G29" s="103"/>
      <c r="H29" s="104"/>
    </row>
    <row r="30" spans="2:8" ht="30" customHeight="1" x14ac:dyDescent="0.25">
      <c r="B30" s="100"/>
      <c r="C30" s="217" t="s">
        <v>180</v>
      </c>
      <c r="D30" s="218"/>
      <c r="E30" s="206" t="s">
        <v>177</v>
      </c>
      <c r="F30" s="207"/>
      <c r="G30" s="103"/>
      <c r="H30" s="104"/>
    </row>
    <row r="31" spans="2:8" ht="35.25" customHeight="1" x14ac:dyDescent="0.25">
      <c r="B31" s="100"/>
      <c r="C31" s="217" t="s">
        <v>181</v>
      </c>
      <c r="D31" s="218"/>
      <c r="E31" s="206" t="s">
        <v>182</v>
      </c>
      <c r="F31" s="207"/>
      <c r="G31" s="103"/>
      <c r="H31" s="104"/>
    </row>
    <row r="32" spans="2:8" ht="31.5" customHeight="1" x14ac:dyDescent="0.25">
      <c r="B32" s="100"/>
      <c r="C32" s="217" t="s">
        <v>183</v>
      </c>
      <c r="D32" s="218"/>
      <c r="E32" s="206" t="s">
        <v>184</v>
      </c>
      <c r="F32" s="207"/>
      <c r="G32" s="103"/>
      <c r="H32" s="104"/>
    </row>
    <row r="33" spans="2:8" ht="35.25" customHeight="1" x14ac:dyDescent="0.25">
      <c r="B33" s="100"/>
      <c r="C33" s="217" t="s">
        <v>185</v>
      </c>
      <c r="D33" s="218"/>
      <c r="E33" s="206" t="s">
        <v>186</v>
      </c>
      <c r="F33" s="207"/>
      <c r="G33" s="103"/>
      <c r="H33" s="104"/>
    </row>
    <row r="34" spans="2:8" ht="59.25" customHeight="1" x14ac:dyDescent="0.25">
      <c r="B34" s="100"/>
      <c r="C34" s="217" t="s">
        <v>187</v>
      </c>
      <c r="D34" s="218"/>
      <c r="E34" s="206" t="s">
        <v>188</v>
      </c>
      <c r="F34" s="207"/>
      <c r="G34" s="103"/>
      <c r="H34" s="104"/>
    </row>
    <row r="35" spans="2:8" ht="29.25" customHeight="1" x14ac:dyDescent="0.25">
      <c r="B35" s="100"/>
      <c r="C35" s="217" t="s">
        <v>29</v>
      </c>
      <c r="D35" s="218"/>
      <c r="E35" s="206" t="s">
        <v>189</v>
      </c>
      <c r="F35" s="207"/>
      <c r="G35" s="103"/>
      <c r="H35" s="104"/>
    </row>
    <row r="36" spans="2:8" ht="82.5" customHeight="1" x14ac:dyDescent="0.25">
      <c r="B36" s="100"/>
      <c r="C36" s="217" t="s">
        <v>191</v>
      </c>
      <c r="D36" s="218"/>
      <c r="E36" s="206" t="s">
        <v>190</v>
      </c>
      <c r="F36" s="207"/>
      <c r="G36" s="103"/>
      <c r="H36" s="104"/>
    </row>
    <row r="37" spans="2:8" ht="46.5" customHeight="1" x14ac:dyDescent="0.25">
      <c r="B37" s="100"/>
      <c r="C37" s="217" t="s">
        <v>39</v>
      </c>
      <c r="D37" s="218"/>
      <c r="E37" s="206" t="s">
        <v>192</v>
      </c>
      <c r="F37" s="207"/>
      <c r="G37" s="103"/>
      <c r="H37" s="104"/>
    </row>
    <row r="38" spans="2:8" ht="6.75" customHeight="1" thickBot="1" x14ac:dyDescent="0.3">
      <c r="B38" s="100"/>
      <c r="C38" s="213"/>
      <c r="D38" s="214"/>
      <c r="E38" s="215"/>
      <c r="F38" s="216"/>
      <c r="G38" s="103"/>
      <c r="H38" s="104"/>
    </row>
    <row r="39" spans="2:8" ht="15.75" thickTop="1" x14ac:dyDescent="0.25">
      <c r="B39" s="100"/>
      <c r="C39" s="101"/>
      <c r="D39" s="101"/>
      <c r="E39" s="102"/>
      <c r="F39" s="102"/>
      <c r="G39" s="103"/>
      <c r="H39" s="104"/>
    </row>
    <row r="40" spans="2:8" ht="21" customHeight="1" x14ac:dyDescent="0.25">
      <c r="B40" s="210" t="s">
        <v>201</v>
      </c>
      <c r="C40" s="211"/>
      <c r="D40" s="211"/>
      <c r="E40" s="211"/>
      <c r="F40" s="211"/>
      <c r="G40" s="211"/>
      <c r="H40" s="212"/>
    </row>
    <row r="41" spans="2:8" ht="20.25" customHeight="1" x14ac:dyDescent="0.25">
      <c r="B41" s="210" t="s">
        <v>202</v>
      </c>
      <c r="C41" s="211"/>
      <c r="D41" s="211"/>
      <c r="E41" s="211"/>
      <c r="F41" s="211"/>
      <c r="G41" s="211"/>
      <c r="H41" s="212"/>
    </row>
    <row r="42" spans="2:8" ht="20.25" customHeight="1" x14ac:dyDescent="0.25">
      <c r="B42" s="210" t="s">
        <v>203</v>
      </c>
      <c r="C42" s="211"/>
      <c r="D42" s="211"/>
      <c r="E42" s="211"/>
      <c r="F42" s="211"/>
      <c r="G42" s="211"/>
      <c r="H42" s="212"/>
    </row>
    <row r="43" spans="2:8" ht="20.25" customHeight="1" x14ac:dyDescent="0.25">
      <c r="B43" s="210" t="s">
        <v>204</v>
      </c>
      <c r="C43" s="211"/>
      <c r="D43" s="211"/>
      <c r="E43" s="211"/>
      <c r="F43" s="211"/>
      <c r="G43" s="211"/>
      <c r="H43" s="212"/>
    </row>
    <row r="44" spans="2:8" x14ac:dyDescent="0.25">
      <c r="B44" s="210" t="s">
        <v>205</v>
      </c>
      <c r="C44" s="211"/>
      <c r="D44" s="211"/>
      <c r="E44" s="211"/>
      <c r="F44" s="211"/>
      <c r="G44" s="211"/>
      <c r="H44" s="212"/>
    </row>
    <row r="45" spans="2:8" ht="15.75" thickBot="1" x14ac:dyDescent="0.3">
      <c r="B45" s="105"/>
      <c r="C45" s="106"/>
      <c r="D45" s="106"/>
      <c r="E45" s="106"/>
      <c r="F45" s="106"/>
      <c r="G45" s="106"/>
      <c r="H45" s="107"/>
    </row>
  </sheetData>
  <mergeCells count="64">
    <mergeCell ref="C13:D13"/>
    <mergeCell ref="B2:H2"/>
    <mergeCell ref="B4:H5"/>
    <mergeCell ref="B6:H6"/>
    <mergeCell ref="B9:H10"/>
    <mergeCell ref="C12:D12"/>
    <mergeCell ref="E12:F12"/>
    <mergeCell ref="B7:H7"/>
    <mergeCell ref="E13:F13"/>
    <mergeCell ref="C30:D30"/>
    <mergeCell ref="E30:F30"/>
    <mergeCell ref="C17:D17"/>
    <mergeCell ref="E17:F17"/>
    <mergeCell ref="C21:D21"/>
    <mergeCell ref="C18:D18"/>
    <mergeCell ref="C19:D19"/>
    <mergeCell ref="C20:D20"/>
    <mergeCell ref="E18:F18"/>
    <mergeCell ref="E19:F19"/>
    <mergeCell ref="E23:F23"/>
    <mergeCell ref="C23:D23"/>
    <mergeCell ref="C24:D24"/>
    <mergeCell ref="E24:F24"/>
    <mergeCell ref="C26:D26"/>
    <mergeCell ref="E26:F26"/>
    <mergeCell ref="C32:D32"/>
    <mergeCell ref="C31:D31"/>
    <mergeCell ref="B42:H42"/>
    <mergeCell ref="B43:H43"/>
    <mergeCell ref="B44:H44"/>
    <mergeCell ref="E34:F34"/>
    <mergeCell ref="E31:F31"/>
    <mergeCell ref="E32:F32"/>
    <mergeCell ref="C33:D33"/>
    <mergeCell ref="B40:H40"/>
    <mergeCell ref="C36:D36"/>
    <mergeCell ref="E36:F36"/>
    <mergeCell ref="E33:F33"/>
    <mergeCell ref="C34:D34"/>
    <mergeCell ref="C35:D35"/>
    <mergeCell ref="E35:F35"/>
    <mergeCell ref="C25:D25"/>
    <mergeCell ref="E25:F25"/>
    <mergeCell ref="C29:D29"/>
    <mergeCell ref="E28:F28"/>
    <mergeCell ref="C28:D28"/>
    <mergeCell ref="C27:D27"/>
    <mergeCell ref="E27:F27"/>
    <mergeCell ref="E29:F29"/>
    <mergeCell ref="B41:H41"/>
    <mergeCell ref="C38:D38"/>
    <mergeCell ref="E38:F38"/>
    <mergeCell ref="C37:D37"/>
    <mergeCell ref="E37:F37"/>
    <mergeCell ref="C14:D14"/>
    <mergeCell ref="E14:F14"/>
    <mergeCell ref="C15:D15"/>
    <mergeCell ref="E15:F15"/>
    <mergeCell ref="E22:F22"/>
    <mergeCell ref="C22:D22"/>
    <mergeCell ref="E20:F20"/>
    <mergeCell ref="E21:F21"/>
    <mergeCell ref="C16:D16"/>
    <mergeCell ref="E16:F16"/>
  </mergeCell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18F51-A5CB-6D4A-8F28-A1A73EB451E4}">
  <dimension ref="A3:A21"/>
  <sheetViews>
    <sheetView workbookViewId="0">
      <selection activeCell="A19" sqref="A19"/>
    </sheetView>
  </sheetViews>
  <sheetFormatPr baseColWidth="10" defaultColWidth="11.42578125" defaultRowHeight="12.75" x14ac:dyDescent="0.2"/>
  <cols>
    <col min="1" max="1" width="32.85546875" style="3" customWidth="1"/>
    <col min="2" max="16384" width="11.42578125" style="3"/>
  </cols>
  <sheetData>
    <row r="3" spans="1:1" x14ac:dyDescent="0.2">
      <c r="A3" s="4" t="s">
        <v>14</v>
      </c>
    </row>
    <row r="4" spans="1:1" x14ac:dyDescent="0.2">
      <c r="A4" s="4" t="s">
        <v>15</v>
      </c>
    </row>
    <row r="5" spans="1:1" x14ac:dyDescent="0.2">
      <c r="A5" s="4" t="s">
        <v>16</v>
      </c>
    </row>
    <row r="6" spans="1:1" x14ac:dyDescent="0.2">
      <c r="A6" s="4" t="s">
        <v>10</v>
      </c>
    </row>
    <row r="7" spans="1:1" x14ac:dyDescent="0.2">
      <c r="A7" s="4" t="s">
        <v>9</v>
      </c>
    </row>
    <row r="8" spans="1:1" x14ac:dyDescent="0.2">
      <c r="A8" s="4" t="s">
        <v>19</v>
      </c>
    </row>
    <row r="9" spans="1:1" x14ac:dyDescent="0.2">
      <c r="A9" s="4" t="s">
        <v>20</v>
      </c>
    </row>
    <row r="10" spans="1:1" x14ac:dyDescent="0.2">
      <c r="A10" s="4" t="s">
        <v>22</v>
      </c>
    </row>
    <row r="11" spans="1:1" x14ac:dyDescent="0.2">
      <c r="A11" s="4" t="s">
        <v>23</v>
      </c>
    </row>
    <row r="12" spans="1:1" x14ac:dyDescent="0.2">
      <c r="A12" s="4" t="s">
        <v>25</v>
      </c>
    </row>
    <row r="13" spans="1:1" x14ac:dyDescent="0.2">
      <c r="A13" s="4" t="s">
        <v>26</v>
      </c>
    </row>
    <row r="14" spans="1:1" x14ac:dyDescent="0.2">
      <c r="A14" s="4" t="s">
        <v>27</v>
      </c>
    </row>
    <row r="16" spans="1:1" x14ac:dyDescent="0.2">
      <c r="A16" s="4" t="s">
        <v>30</v>
      </c>
    </row>
    <row r="17" spans="1:1" x14ac:dyDescent="0.2">
      <c r="A17" s="4" t="s">
        <v>31</v>
      </c>
    </row>
    <row r="18" spans="1:1" x14ac:dyDescent="0.2">
      <c r="A18" s="4" t="s">
        <v>32</v>
      </c>
    </row>
    <row r="20" spans="1:1" x14ac:dyDescent="0.2">
      <c r="A20" s="4" t="s">
        <v>40</v>
      </c>
    </row>
    <row r="21" spans="1:1" x14ac:dyDescent="0.2">
      <c r="A21" s="4"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6532-1218-2249-A171-AE06F93D6EDC}">
  <sheetPr>
    <tabColor rgb="FF002060"/>
  </sheetPr>
  <dimension ref="A1:BR62"/>
  <sheetViews>
    <sheetView tabSelected="1" topLeftCell="R1" zoomScale="115" zoomScaleNormal="115" zoomScaleSheetLayoutView="10" workbookViewId="0">
      <pane ySplit="8" topLeftCell="A19" activePane="bottomLeft" state="frozen"/>
      <selection activeCell="C1" sqref="C1"/>
      <selection pane="bottomLeft" activeCell="AI19" sqref="AI19"/>
    </sheetView>
  </sheetViews>
  <sheetFormatPr baseColWidth="10" defaultColWidth="11.42578125" defaultRowHeight="16.5" x14ac:dyDescent="0.25"/>
  <cols>
    <col min="1" max="1" width="22.85546875" style="164" bestFit="1" customWidth="1"/>
    <col min="2" max="2" width="31.85546875" style="164" bestFit="1" customWidth="1"/>
    <col min="3" max="3" width="4" style="1" customWidth="1"/>
    <col min="4" max="4" width="14" style="1" customWidth="1"/>
    <col min="5" max="5" width="36" style="1" customWidth="1"/>
    <col min="6" max="6" width="43.28515625" style="1" customWidth="1"/>
    <col min="7" max="7" width="32.42578125" style="164" customWidth="1"/>
    <col min="8" max="8" width="14.28515625" style="1" customWidth="1"/>
    <col min="9" max="9" width="12.7109375" style="1" customWidth="1"/>
    <col min="10" max="10" width="16.42578125" style="1" customWidth="1"/>
    <col min="11" max="11" width="5.7109375" style="1" customWidth="1"/>
    <col min="12" max="13" width="25.7109375" style="1" customWidth="1"/>
    <col min="14" max="14" width="11.42578125" style="1" customWidth="1"/>
    <col min="15" max="15" width="5.7109375" style="1" customWidth="1"/>
    <col min="16" max="16" width="12.42578125" style="1" customWidth="1"/>
    <col min="17" max="17" width="5.85546875" style="1" customWidth="1"/>
    <col min="18" max="18" width="48.42578125" style="164" customWidth="1"/>
    <col min="19" max="19" width="15.140625" style="164" hidden="1" customWidth="1"/>
    <col min="20" max="20" width="6.85546875" style="164" hidden="1" customWidth="1"/>
    <col min="21" max="21" width="5" style="164" hidden="1" customWidth="1"/>
    <col min="22" max="22" width="5.42578125" style="164" hidden="1" customWidth="1"/>
    <col min="23" max="23" width="7.140625" style="164" hidden="1" customWidth="1"/>
    <col min="24" max="24" width="6.7109375" style="164" hidden="1" customWidth="1"/>
    <col min="25" max="25" width="7.42578125" style="164" hidden="1" customWidth="1"/>
    <col min="26" max="26" width="9.140625" style="164" hidden="1" customWidth="1"/>
    <col min="27" max="27" width="8.7109375" style="164" hidden="1" customWidth="1"/>
    <col min="28" max="28" width="6.42578125" style="164" hidden="1" customWidth="1"/>
    <col min="29" max="29" width="9.28515625" style="164" hidden="1" customWidth="1"/>
    <col min="30" max="30" width="9.140625" style="164" hidden="1" customWidth="1"/>
    <col min="31" max="31" width="8.42578125" style="164" hidden="1" customWidth="1"/>
    <col min="32" max="32" width="14.85546875" style="164" hidden="1" customWidth="1"/>
    <col min="33" max="33" width="43.7109375" style="164" customWidth="1"/>
    <col min="34" max="34" width="14.28515625" style="164" customWidth="1"/>
    <col min="35" max="35" width="12.85546875" style="164" bestFit="1" customWidth="1"/>
    <col min="36" max="36" width="10.7109375" style="164" customWidth="1"/>
    <col min="37" max="37" width="50.140625" style="195" customWidth="1"/>
    <col min="38" max="38" width="10.28515625" style="164" bestFit="1" customWidth="1"/>
    <col min="39" max="39" width="37.140625" style="164" customWidth="1"/>
    <col min="40" max="40" width="11.42578125" style="164"/>
    <col min="41" max="41" width="26.140625" style="164" customWidth="1"/>
    <col min="42" max="16384" width="11.42578125" style="164"/>
  </cols>
  <sheetData>
    <row r="1" spans="1:70" ht="16.5" customHeight="1" x14ac:dyDescent="0.25">
      <c r="A1" s="241"/>
      <c r="B1" s="241" t="s">
        <v>371</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2"/>
      <c r="AI1" s="246" t="s">
        <v>373</v>
      </c>
      <c r="AJ1" s="247"/>
      <c r="AK1" s="247"/>
      <c r="AL1" s="248"/>
    </row>
    <row r="2" spans="1:70" ht="16.5" customHeight="1" x14ac:dyDescent="0.25">
      <c r="A2" s="241"/>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2"/>
      <c r="AI2" s="246" t="s">
        <v>374</v>
      </c>
      <c r="AJ2" s="247"/>
      <c r="AK2" s="247"/>
      <c r="AL2" s="248"/>
    </row>
    <row r="3" spans="1:70" ht="16.5" customHeight="1" x14ac:dyDescent="0.25">
      <c r="A3" s="241"/>
      <c r="B3" s="241" t="s">
        <v>513</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2"/>
      <c r="AI3" s="249" t="s">
        <v>375</v>
      </c>
      <c r="AJ3" s="250"/>
      <c r="AK3" s="250"/>
      <c r="AL3" s="251"/>
      <c r="AO3" s="165"/>
    </row>
    <row r="4" spans="1:70" ht="16.5" customHeight="1" x14ac:dyDescent="0.25">
      <c r="A4" s="241"/>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2"/>
      <c r="AI4" s="249" t="s">
        <v>376</v>
      </c>
      <c r="AJ4" s="250"/>
      <c r="AK4" s="250"/>
      <c r="AL4" s="251"/>
    </row>
    <row r="5" spans="1:70" ht="16.5" customHeight="1" x14ac:dyDescent="0.25">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92"/>
      <c r="AL5" s="115"/>
    </row>
    <row r="6" spans="1:70" x14ac:dyDescent="0.25">
      <c r="A6" s="265" t="s">
        <v>43</v>
      </c>
      <c r="B6" s="268" t="s">
        <v>212</v>
      </c>
      <c r="C6" s="245" t="s">
        <v>137</v>
      </c>
      <c r="D6" s="245"/>
      <c r="E6" s="245"/>
      <c r="F6" s="245"/>
      <c r="G6" s="245"/>
      <c r="H6" s="245"/>
      <c r="I6" s="245"/>
      <c r="J6" s="245" t="s">
        <v>138</v>
      </c>
      <c r="K6" s="245"/>
      <c r="L6" s="245"/>
      <c r="M6" s="245"/>
      <c r="N6" s="245"/>
      <c r="O6" s="245"/>
      <c r="P6" s="245"/>
      <c r="Q6" s="245" t="s">
        <v>139</v>
      </c>
      <c r="R6" s="245"/>
      <c r="S6" s="245"/>
      <c r="T6" s="245"/>
      <c r="U6" s="245"/>
      <c r="V6" s="245"/>
      <c r="W6" s="245"/>
      <c r="X6" s="245"/>
      <c r="Y6" s="245"/>
      <c r="Z6" s="245" t="s">
        <v>140</v>
      </c>
      <c r="AA6" s="245"/>
      <c r="AB6" s="245"/>
      <c r="AC6" s="245"/>
      <c r="AD6" s="245"/>
      <c r="AE6" s="245"/>
      <c r="AF6" s="245"/>
      <c r="AG6" s="245" t="s">
        <v>34</v>
      </c>
      <c r="AH6" s="245"/>
      <c r="AI6" s="245"/>
      <c r="AJ6" s="245"/>
      <c r="AK6" s="245"/>
      <c r="AL6" s="245"/>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row>
    <row r="7" spans="1:70" ht="13.7" customHeight="1" x14ac:dyDescent="0.25">
      <c r="A7" s="266"/>
      <c r="B7" s="269"/>
      <c r="C7" s="271" t="s">
        <v>0</v>
      </c>
      <c r="D7" s="245" t="s">
        <v>2</v>
      </c>
      <c r="E7" s="244" t="s">
        <v>3</v>
      </c>
      <c r="F7" s="244" t="s">
        <v>42</v>
      </c>
      <c r="G7" s="272" t="s">
        <v>1</v>
      </c>
      <c r="H7" s="244" t="s">
        <v>49</v>
      </c>
      <c r="I7" s="244" t="s">
        <v>133</v>
      </c>
      <c r="J7" s="244" t="s">
        <v>33</v>
      </c>
      <c r="K7" s="245" t="s">
        <v>5</v>
      </c>
      <c r="L7" s="244" t="s">
        <v>86</v>
      </c>
      <c r="M7" s="244" t="s">
        <v>91</v>
      </c>
      <c r="N7" s="244" t="s">
        <v>44</v>
      </c>
      <c r="O7" s="245" t="s">
        <v>5</v>
      </c>
      <c r="P7" s="244" t="s">
        <v>47</v>
      </c>
      <c r="Q7" s="243" t="s">
        <v>11</v>
      </c>
      <c r="R7" s="259" t="s">
        <v>160</v>
      </c>
      <c r="S7" s="244" t="s">
        <v>12</v>
      </c>
      <c r="T7" s="244" t="s">
        <v>8</v>
      </c>
      <c r="U7" s="244"/>
      <c r="V7" s="244"/>
      <c r="W7" s="244"/>
      <c r="X7" s="244"/>
      <c r="Y7" s="244"/>
      <c r="Z7" s="243" t="s">
        <v>136</v>
      </c>
      <c r="AA7" s="243" t="s">
        <v>45</v>
      </c>
      <c r="AB7" s="243" t="s">
        <v>5</v>
      </c>
      <c r="AC7" s="243" t="s">
        <v>46</v>
      </c>
      <c r="AD7" s="243" t="s">
        <v>5</v>
      </c>
      <c r="AE7" s="243" t="s">
        <v>48</v>
      </c>
      <c r="AF7" s="243" t="s">
        <v>29</v>
      </c>
      <c r="AG7" s="259" t="s">
        <v>34</v>
      </c>
      <c r="AH7" s="244" t="s">
        <v>35</v>
      </c>
      <c r="AI7" s="244" t="s">
        <v>36</v>
      </c>
      <c r="AJ7" s="244" t="s">
        <v>38</v>
      </c>
      <c r="AK7" s="259" t="s">
        <v>37</v>
      </c>
      <c r="AL7" s="244" t="s">
        <v>39</v>
      </c>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row>
    <row r="8" spans="1:70" s="2" customFormat="1" ht="78.75" x14ac:dyDescent="0.25">
      <c r="A8" s="267"/>
      <c r="B8" s="270"/>
      <c r="C8" s="271"/>
      <c r="D8" s="245"/>
      <c r="E8" s="244"/>
      <c r="F8" s="244"/>
      <c r="G8" s="272"/>
      <c r="H8" s="244"/>
      <c r="I8" s="244"/>
      <c r="J8" s="244"/>
      <c r="K8" s="245"/>
      <c r="L8" s="244"/>
      <c r="M8" s="244"/>
      <c r="N8" s="245"/>
      <c r="O8" s="245"/>
      <c r="P8" s="244"/>
      <c r="Q8" s="243"/>
      <c r="R8" s="259"/>
      <c r="S8" s="244"/>
      <c r="T8" s="124" t="s">
        <v>13</v>
      </c>
      <c r="U8" s="124" t="s">
        <v>17</v>
      </c>
      <c r="V8" s="124" t="s">
        <v>28</v>
      </c>
      <c r="W8" s="124" t="s">
        <v>18</v>
      </c>
      <c r="X8" s="124" t="s">
        <v>21</v>
      </c>
      <c r="Y8" s="124" t="s">
        <v>24</v>
      </c>
      <c r="Z8" s="243"/>
      <c r="AA8" s="243"/>
      <c r="AB8" s="243"/>
      <c r="AC8" s="243"/>
      <c r="AD8" s="243"/>
      <c r="AE8" s="243"/>
      <c r="AF8" s="243"/>
      <c r="AG8" s="259"/>
      <c r="AH8" s="244"/>
      <c r="AI8" s="244"/>
      <c r="AJ8" s="244"/>
      <c r="AK8" s="259"/>
      <c r="AL8" s="244"/>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row>
    <row r="9" spans="1:70" s="20" customFormat="1" ht="181.5" x14ac:dyDescent="0.25">
      <c r="A9" s="260" t="s">
        <v>211</v>
      </c>
      <c r="B9" s="189" t="s">
        <v>213</v>
      </c>
      <c r="C9" s="189">
        <v>1</v>
      </c>
      <c r="D9" s="125" t="s">
        <v>130</v>
      </c>
      <c r="E9" s="125" t="s">
        <v>487</v>
      </c>
      <c r="F9" s="125" t="s">
        <v>486</v>
      </c>
      <c r="G9" s="125" t="s">
        <v>485</v>
      </c>
      <c r="H9" s="125" t="s">
        <v>122</v>
      </c>
      <c r="I9" s="126">
        <v>52</v>
      </c>
      <c r="J9" s="133" t="str">
        <f>IF(I9&lt;=0,"",IF(I9&lt;=2,"Muy Baja",IF(I9&lt;=24,"Baja",IF(I9&lt;=500,"Media",IF(I9&lt;=5000,"Alta","Muy Alta")))))</f>
        <v>Media</v>
      </c>
      <c r="K9" s="134">
        <f>IF(J9="","",IF(J9="Muy Baja",0.2,IF(J9="Baja",0.4,IF(J9="Media",0.6,IF(J9="Alta",0.8,IF(J9="Muy Alta",1,))))))</f>
        <v>0.6</v>
      </c>
      <c r="L9" s="135" t="s">
        <v>152</v>
      </c>
      <c r="M9" s="134" t="str">
        <f>IF(NOT(ISERROR(MATCH(L9,'Tabla Impacto'!$B$221:$B$223,0))),'Tabla Impacto'!$F$223&amp;"Por favor no seleccionar los criterios de impacto(Afectación Económica o presupuestal y Pérdida Reputacional)",L9)</f>
        <v xml:space="preserve">     El riesgo afecta la imagen de la entidad con algunos usuarios de relevancia frente al logro de los objetivos</v>
      </c>
      <c r="N9" s="133" t="str">
        <f>IF(OR(M9='Tabla Impacto'!$C$11,M9='Tabla Impacto'!$D$11),"Leve",IF(OR(M9='Tabla Impacto'!$C$12,M9='Tabla Impacto'!$D$12),"Menor",IF(OR(M9='Tabla Impacto'!$C$13,M9='Tabla Impacto'!$D$13),"Moderado",IF(OR(M9='Tabla Impacto'!$C$14,M9='Tabla Impacto'!$D$14),"Mayor",IF(OR(M9='Tabla Impacto'!$C$15,M9='Tabla Impacto'!$D$15),"Catastrófico","")))))</f>
        <v>Moderado</v>
      </c>
      <c r="O9" s="134">
        <f>IF(N9="","",IF(N9="Leve",0.2,IF(N9="Menor",0.4,IF(N9="Moderado",0.6,IF(N9="Mayor",0.8,IF(N9="Catastrófico",1,))))))</f>
        <v>0.6</v>
      </c>
      <c r="P9" s="136" t="str">
        <f>IF(OR(AND(J9="Muy Baja",N9="Leve"),AND(J9="Muy Baja",N9="Menor"),AND(J9="Baja",N9="Leve")),"Bajo",IF(OR(AND(J9="Muy baja",N9="Moderado"),AND(J9="Baja",N9="Menor"),AND(J9="Baja",N9="Moderado"),AND(J9="Media",N9="Leve"),AND(J9="Media",N9="Menor"),AND(J9="Media",N9="Moderado"),AND(J9="Alta",N9="Leve"),AND(J9="Alta",N9="Menor")),"Moderado",IF(OR(AND(J9="Muy Baja",N9="Mayor"),AND(J9="Baja",N9="Mayor"),AND(J9="Media",N9="Mayor"),AND(J9="Alta",N9="Moderado"),AND(J9="Alta",N9="Mayor"),AND(J9="Muy Alta",N9="Leve"),AND(J9="Muy Alta",N9="Menor"),AND(J9="Muy Alta",N9="Moderado"),AND(J9="Muy Alta",N9="Mayor")),"Alto",IF(OR(AND(J9="Muy Baja",N9="Catastrófico"),AND(J9="Baja",N9="Catastrófico"),AND(J9="Media",N9="Catastrófico"),AND(J9="Alta",N9="Catastrófico"),AND(J9="Muy Alta",N9="Catastrófico")),"Extremo",""))))</f>
        <v>Moderado</v>
      </c>
      <c r="Q9" s="152">
        <v>2</v>
      </c>
      <c r="R9" s="166" t="s">
        <v>529</v>
      </c>
      <c r="S9" s="137" t="str">
        <f>IF(OR(T9="Preventivo",T9="Detectivo"),"Probabilidad",IF(T9="Correctivo","Impacto",""))</f>
        <v>Probabilidad</v>
      </c>
      <c r="T9" s="138" t="s">
        <v>14</v>
      </c>
      <c r="U9" s="138" t="s">
        <v>9</v>
      </c>
      <c r="V9" s="139" t="str">
        <f>IF(AND(T9="Preventivo",U9="Automático"),"50%",IF(AND(T9="Preventivo",U9="Manual"),"40%",IF(AND(T9="Detectivo",U9="Automático"),"40%",IF(AND(T9="Detectivo",U9="Manual"),"30%",IF(AND(T9="Correctivo",U9="Automático"),"35%",IF(AND(T9="Correctivo",U9="Manual"),"25%",""))))))</f>
        <v>40%</v>
      </c>
      <c r="W9" s="138" t="s">
        <v>19</v>
      </c>
      <c r="X9" s="138" t="s">
        <v>22</v>
      </c>
      <c r="Y9" s="138" t="s">
        <v>118</v>
      </c>
      <c r="Z9" s="158">
        <f>IFERROR(IF(S9="Probabilidad",(K9-(+K9*V9)),IF(S9="Impacto",K9,"")),"")</f>
        <v>0.36</v>
      </c>
      <c r="AA9" s="140" t="str">
        <f>IFERROR(IF(Z9="","",IF(Z9&lt;=0.2,"Muy Baja",IF(Z9&lt;=0.4,"Baja",IF(Z9&lt;=0.6,"Media",IF(Z9&lt;=0.8,"Alta","Muy Alta"))))),"")</f>
        <v>Baja</v>
      </c>
      <c r="AB9" s="139">
        <f>+Z9</f>
        <v>0.36</v>
      </c>
      <c r="AC9" s="140" t="str">
        <f>IFERROR(IF(AD9="","",IF(AD9&lt;=0.2,"Leve",IF(AD9&lt;=0.4,"Menor",IF(AD9&lt;=0.6,"Moderado",IF(AD9&lt;=0.8,"Mayor","Catastrófico"))))),"")</f>
        <v>Moderado</v>
      </c>
      <c r="AD9" s="139">
        <f>IFERROR(IF(S9="Impacto",(O9-(+O9*V9)),IF(S9="Probabilidad",O9,"")),"")</f>
        <v>0.6</v>
      </c>
      <c r="AE9" s="159" t="str">
        <f>IFERROR(IF(OR(AND(AA9="Muy Baja",AC9="Leve"),AND(AA9="Muy Baja",AC9="Menor"),AND(AA9="Baja",AC9="Leve")),"Bajo",IF(OR(AND(AA9="Muy baja",AC9="Moderado"),AND(AA9="Baja",AC9="Menor"),AND(AA9="Baja",AC9="Moderado"),AND(AA9="Media",AC9="Leve"),AND(AA9="Media",AC9="Menor"),AND(AA9="Media",AC9="Moderado"),AND(AA9="Alta",AC9="Leve"),AND(AA9="Alta",AC9="Menor")),"Moderado",IF(OR(AND(AA9="Muy Baja",AC9="Mayor"),AND(AA9="Baja",AC9="Mayor"),AND(AA9="Media",AC9="Mayor"),AND(AA9="Alta",AC9="Moderado"),AND(AA9="Alta",AC9="Mayor"),AND(AA9="Muy Alta",AC9="Leve"),AND(AA9="Muy Alta",AC9="Menor"),AND(AA9="Muy Alta",AC9="Moderado"),AND(AA9="Muy Alta",AC9="Mayor")),"Alto",IF(OR(AND(AA9="Muy Baja",AC9="Catastrófico"),AND(AA9="Baja",AC9="Catastrófico"),AND(AA9="Media",AC9="Catastrófico"),AND(AA9="Alta",AC9="Catastrófico"),AND(AA9="Muy Alta",AC9="Catastrófico")),"Extremo","")))),"")</f>
        <v>Moderado</v>
      </c>
      <c r="AF9" s="138" t="s">
        <v>134</v>
      </c>
      <c r="AG9" s="125" t="s">
        <v>349</v>
      </c>
      <c r="AH9" s="125" t="s">
        <v>261</v>
      </c>
      <c r="AI9" s="129">
        <v>45688</v>
      </c>
      <c r="AJ9" s="129">
        <v>46022</v>
      </c>
      <c r="AK9" s="182" t="s">
        <v>573</v>
      </c>
      <c r="AL9" s="126" t="s">
        <v>414</v>
      </c>
    </row>
    <row r="10" spans="1:70" s="20" customFormat="1" ht="134.1" customHeight="1" x14ac:dyDescent="0.25">
      <c r="A10" s="261"/>
      <c r="B10" s="189" t="s">
        <v>213</v>
      </c>
      <c r="C10" s="189">
        <v>2</v>
      </c>
      <c r="D10" s="125" t="s">
        <v>132</v>
      </c>
      <c r="E10" s="125" t="s">
        <v>450</v>
      </c>
      <c r="F10" s="125" t="s">
        <v>449</v>
      </c>
      <c r="G10" s="125" t="s">
        <v>448</v>
      </c>
      <c r="H10" s="125" t="s">
        <v>122</v>
      </c>
      <c r="I10" s="126">
        <v>500</v>
      </c>
      <c r="J10" s="133" t="str">
        <f>IF(I10&lt;=0,"",IF(I10&lt;=2,"Muy Baja",IF(I10&lt;=24,"Baja",IF(I10&lt;=500,"Media",IF(I10&lt;=5000,"Alta","Muy Alta")))))</f>
        <v>Media</v>
      </c>
      <c r="K10" s="134">
        <f t="shared" ref="K10:K53" si="0">IF(J10="","",IF(J10="Muy Baja",0.2,IF(J10="Baja",0.4,IF(J10="Media",0.6,IF(J10="Alta",0.8,IF(J10="Muy Alta",1,))))))</f>
        <v>0.6</v>
      </c>
      <c r="L10" s="135" t="s">
        <v>148</v>
      </c>
      <c r="M10" s="134" t="str">
        <f>IF(NOT(ISERROR(MATCH(L10,_xlfn.ANCHORARRAY(#REF!),0))),#REF!&amp;"Por favor no seleccionar los criterios de impacto",L10)</f>
        <v xml:space="preserve">     Entre 100 y 500 SMLMV </v>
      </c>
      <c r="N10" s="133" t="str">
        <f>IF(OR(M10='Tabla Impacto'!$C$11,M10='Tabla Impacto'!$D$11),"Leve",IF(OR(M10='Tabla Impacto'!$C$12,M10='Tabla Impacto'!$D$12),"Menor",IF(OR(M10='Tabla Impacto'!$C$13,M10='Tabla Impacto'!$D$13),"Moderado",IF(OR(M10='Tabla Impacto'!$C$14,M10='Tabla Impacto'!$D$14),"Mayor",IF(OR(M10='Tabla Impacto'!$C$15,M10='Tabla Impacto'!$D$15),"Catastrófico","")))))</f>
        <v>Mayor</v>
      </c>
      <c r="O10" s="134">
        <f t="shared" ref="O10:O53" si="1">IF(N10="","",IF(N10="Leve",0.2,IF(N10="Menor",0.4,IF(N10="Moderado",0.6,IF(N10="Mayor",0.8,IF(N10="Catastrófico",1,))))))</f>
        <v>0.8</v>
      </c>
      <c r="P10" s="136" t="str">
        <f t="shared" ref="P10:P53" si="2">IF(OR(AND(J10="Muy Baja",N10="Leve"),AND(J10="Muy Baja",N10="Menor"),AND(J10="Baja",N10="Leve")),"Bajo",IF(OR(AND(J10="Muy baja",N10="Moderado"),AND(J10="Baja",N10="Menor"),AND(J10="Baja",N10="Moderado"),AND(J10="Media",N10="Leve"),AND(J10="Media",N10="Menor"),AND(J10="Media",N10="Moderado"),AND(J10="Alta",N10="Leve"),AND(J10="Alta",N10="Menor")),"Moderado",IF(OR(AND(J10="Muy Baja",N10="Mayor"),AND(J10="Baja",N10="Mayor"),AND(J10="Media",N10="Mayor"),AND(J10="Alta",N10="Moderado"),AND(J10="Alta",N10="Mayor"),AND(J10="Muy Alta",N10="Leve"),AND(J10="Muy Alta",N10="Menor"),AND(J10="Muy Alta",N10="Moderado"),AND(J10="Muy Alta",N10="Mayor")),"Alto",IF(OR(AND(J10="Muy Baja",N10="Catastrófico"),AND(J10="Baja",N10="Catastrófico"),AND(J10="Media",N10="Catastrófico"),AND(J10="Alta",N10="Catastrófico"),AND(J10="Muy Alta",N10="Catastrófico")),"Extremo",""))))</f>
        <v>Alto</v>
      </c>
      <c r="Q10" s="152">
        <v>1</v>
      </c>
      <c r="R10" s="125" t="s">
        <v>257</v>
      </c>
      <c r="S10" s="137" t="str">
        <f t="shared" ref="S10:S53" si="3">IF(OR(T10="Preventivo",T10="Detectivo"),"Probabilidad",IF(T10="Correctivo","Impacto",""))</f>
        <v>Probabilidad</v>
      </c>
      <c r="T10" s="138" t="s">
        <v>15</v>
      </c>
      <c r="U10" s="138" t="s">
        <v>10</v>
      </c>
      <c r="V10" s="139" t="str">
        <f t="shared" ref="V10:V53" si="4">IF(AND(T10="Preventivo",U10="Automático"),"50%",IF(AND(T10="Preventivo",U10="Manual"),"40%",IF(AND(T10="Detectivo",U10="Automático"),"40%",IF(AND(T10="Detectivo",U10="Manual"),"30%",IF(AND(T10="Correctivo",U10="Automático"),"35%",IF(AND(T10="Correctivo",U10="Manual"),"25%",""))))))</f>
        <v>40%</v>
      </c>
      <c r="W10" s="138" t="s">
        <v>20</v>
      </c>
      <c r="X10" s="138" t="s">
        <v>22</v>
      </c>
      <c r="Y10" s="138" t="s">
        <v>119</v>
      </c>
      <c r="Z10" s="158">
        <f>IFERROR(IF(AND(S9="Probabilidad",S10="Probabilidad"),(AB9-(+AB9*V10)),IF(S10="Probabilidad",(K9-(+K9*V10)),IF(S10="Impacto",AB9,""))),"")</f>
        <v>0.216</v>
      </c>
      <c r="AA10" s="140" t="str">
        <f t="shared" ref="AA10:AA53" si="5">IFERROR(IF(Z10="","",IF(Z10&lt;=0.2,"Muy Baja",IF(Z10&lt;=0.4,"Baja",IF(Z10&lt;=0.6,"Media",IF(Z10&lt;=0.8,"Alta","Muy Alta"))))),"")</f>
        <v>Baja</v>
      </c>
      <c r="AB10" s="139">
        <f>+Z10</f>
        <v>0.216</v>
      </c>
      <c r="AC10" s="140" t="str">
        <f t="shared" ref="AC10:AC53" si="6">IFERROR(IF(AD10="","",IF(AD10&lt;=0.2,"Leve",IF(AD10&lt;=0.4,"Menor",IF(AD10&lt;=0.6,"Moderado",IF(AD10&lt;=0.8,"Mayor","Catastrófico"))))),"")</f>
        <v>Mayor</v>
      </c>
      <c r="AD10" s="139">
        <f>IFERROR(IF(S10="Impacto",(O10-(+O10*V10)),IF(S10="Probabilidad",O10,"")),"")</f>
        <v>0.8</v>
      </c>
      <c r="AE10" s="159" t="str">
        <f t="shared" ref="AE10:AE53" si="7">IFERROR(IF(OR(AND(AA10="Muy Baja",AC10="Leve"),AND(AA10="Muy Baja",AC10="Menor"),AND(AA10="Baja",AC10="Leve")),"Bajo",IF(OR(AND(AA10="Muy baja",AC10="Moderado"),AND(AA10="Baja",AC10="Menor"),AND(AA10="Baja",AC10="Moderado"),AND(AA10="Media",AC10="Leve"),AND(AA10="Media",AC10="Menor"),AND(AA10="Media",AC10="Moderado"),AND(AA10="Alta",AC10="Leve"),AND(AA10="Alta",AC10="Menor")),"Moderado",IF(OR(AND(AA10="Muy Baja",AC10="Mayor"),AND(AA10="Baja",AC10="Mayor"),AND(AA10="Media",AC10="Mayor"),AND(AA10="Alta",AC10="Moderado"),AND(AA10="Alta",AC10="Mayor"),AND(AA10="Muy Alta",AC10="Leve"),AND(AA10="Muy Alta",AC10="Menor"),AND(AA10="Muy Alta",AC10="Moderado"),AND(AA10="Muy Alta",AC10="Mayor")),"Alto",IF(OR(AND(AA10="Muy Baja",AC10="Catastrófico"),AND(AA10="Baja",AC10="Catastrófico"),AND(AA10="Media",AC10="Catastrófico"),AND(AA10="Alta",AC10="Catastrófico"),AND(AA10="Muy Alta",AC10="Catastrófico")),"Extremo","")))),"")</f>
        <v>Alto</v>
      </c>
      <c r="AF10" s="138" t="s">
        <v>134</v>
      </c>
      <c r="AG10" s="125" t="s">
        <v>351</v>
      </c>
      <c r="AH10" s="125" t="s">
        <v>261</v>
      </c>
      <c r="AI10" s="129">
        <v>45688</v>
      </c>
      <c r="AJ10" s="129">
        <v>46022</v>
      </c>
      <c r="AK10" s="182" t="s">
        <v>574</v>
      </c>
      <c r="AL10" s="126" t="s">
        <v>414</v>
      </c>
    </row>
    <row r="11" spans="1:70" s="20" customFormat="1" ht="148.5" x14ac:dyDescent="0.25">
      <c r="A11" s="261"/>
      <c r="B11" s="189" t="s">
        <v>213</v>
      </c>
      <c r="C11" s="189">
        <v>3</v>
      </c>
      <c r="D11" s="125" t="s">
        <v>132</v>
      </c>
      <c r="E11" s="125" t="s">
        <v>489</v>
      </c>
      <c r="F11" s="125" t="s">
        <v>451</v>
      </c>
      <c r="G11" s="125" t="s">
        <v>488</v>
      </c>
      <c r="H11" s="125" t="s">
        <v>122</v>
      </c>
      <c r="I11" s="126">
        <v>5000</v>
      </c>
      <c r="J11" s="133" t="str">
        <f t="shared" ref="J11:J20" si="8">IF(I11&lt;=0,"",IF(I11&lt;=2,"Muy Baja",IF(I11&lt;=24,"Baja",IF(I11&lt;=500,"Media",IF(I11&lt;=5000,"Alta","Muy Alta")))))</f>
        <v>Alta</v>
      </c>
      <c r="K11" s="134">
        <f t="shared" si="0"/>
        <v>0.8</v>
      </c>
      <c r="L11" s="135" t="s">
        <v>148</v>
      </c>
      <c r="M11" s="134" t="str">
        <f>IF(NOT(ISERROR(MATCH(L11,_xlfn.ANCHORARRAY(#REF!),0))),#REF!&amp;"Por favor no seleccionar los criterios de impacto",L11)</f>
        <v xml:space="preserve">     Entre 100 y 500 SMLMV </v>
      </c>
      <c r="N11" s="133" t="str">
        <f>IF(OR(M11='Tabla Impacto'!$C$11,M11='Tabla Impacto'!$D$11),"Leve",IF(OR(M11='Tabla Impacto'!$C$12,M11='Tabla Impacto'!$D$12),"Menor",IF(OR(M11='Tabla Impacto'!$C$13,M11='Tabla Impacto'!$D$13),"Moderado",IF(OR(M11='Tabla Impacto'!$C$14,M11='Tabla Impacto'!$D$14),"Mayor",IF(OR(M11='Tabla Impacto'!$C$15,M11='Tabla Impacto'!$D$15),"Catastrófico","")))))</f>
        <v>Mayor</v>
      </c>
      <c r="O11" s="134">
        <f t="shared" si="1"/>
        <v>0.8</v>
      </c>
      <c r="P11" s="136" t="str">
        <f t="shared" si="2"/>
        <v>Alto</v>
      </c>
      <c r="Q11" s="152">
        <v>1</v>
      </c>
      <c r="R11" s="125" t="s">
        <v>258</v>
      </c>
      <c r="S11" s="137" t="str">
        <f t="shared" si="3"/>
        <v>Probabilidad</v>
      </c>
      <c r="T11" s="138" t="s">
        <v>14</v>
      </c>
      <c r="U11" s="138" t="s">
        <v>9</v>
      </c>
      <c r="V11" s="139" t="str">
        <f t="shared" si="4"/>
        <v>40%</v>
      </c>
      <c r="W11" s="138" t="s">
        <v>20</v>
      </c>
      <c r="X11" s="138" t="s">
        <v>22</v>
      </c>
      <c r="Y11" s="138" t="s">
        <v>118</v>
      </c>
      <c r="Z11" s="158">
        <f>IFERROR(IF(AND(S10="Probabilidad",S11="Probabilidad"),(AB10-(+AB10*V11)),IF(AND(S10="Impacto",S11="Probabilidad"),(AB9-(+AB9*V11)),IF(S11="Impacto",AB10,""))),"")</f>
        <v>0.12959999999999999</v>
      </c>
      <c r="AA11" s="140" t="str">
        <f t="shared" si="5"/>
        <v>Muy Baja</v>
      </c>
      <c r="AB11" s="139">
        <f>+Z11</f>
        <v>0.12959999999999999</v>
      </c>
      <c r="AC11" s="140" t="str">
        <f t="shared" si="6"/>
        <v>Mayor</v>
      </c>
      <c r="AD11" s="139">
        <f t="shared" ref="AD11:AD53" si="9">IFERROR(IF(S11="Impacto",(O11-(+O11*V11)),IF(S11="Probabilidad",O11,"")),"")</f>
        <v>0.8</v>
      </c>
      <c r="AE11" s="159" t="str">
        <f t="shared" si="7"/>
        <v>Alto</v>
      </c>
      <c r="AF11" s="138" t="s">
        <v>134</v>
      </c>
      <c r="AG11" s="125" t="s">
        <v>262</v>
      </c>
      <c r="AH11" s="125" t="s">
        <v>261</v>
      </c>
      <c r="AI11" s="129">
        <v>45688</v>
      </c>
      <c r="AJ11" s="129">
        <v>46022</v>
      </c>
      <c r="AK11" s="182" t="s">
        <v>575</v>
      </c>
      <c r="AL11" s="126" t="s">
        <v>414</v>
      </c>
    </row>
    <row r="12" spans="1:70" s="20" customFormat="1" ht="148.5" x14ac:dyDescent="0.25">
      <c r="A12" s="261"/>
      <c r="B12" s="190" t="s">
        <v>241</v>
      </c>
      <c r="C12" s="189">
        <v>4</v>
      </c>
      <c r="D12" s="125" t="s">
        <v>132</v>
      </c>
      <c r="E12" s="125" t="s">
        <v>243</v>
      </c>
      <c r="F12" s="125" t="s">
        <v>244</v>
      </c>
      <c r="G12" s="125" t="s">
        <v>452</v>
      </c>
      <c r="H12" s="125" t="s">
        <v>122</v>
      </c>
      <c r="I12" s="126">
        <v>5000</v>
      </c>
      <c r="J12" s="133" t="str">
        <f t="shared" si="8"/>
        <v>Alta</v>
      </c>
      <c r="K12" s="134">
        <f t="shared" si="0"/>
        <v>0.8</v>
      </c>
      <c r="L12" s="135" t="s">
        <v>148</v>
      </c>
      <c r="M12" s="134" t="str">
        <f>IF(NOT(ISERROR(MATCH(L12,_xlfn.ANCHORARRAY(#REF!),0))),K19&amp;"Por favor no seleccionar los criterios de impacto",L12)</f>
        <v xml:space="preserve">     Entre 100 y 500 SMLMV </v>
      </c>
      <c r="N12" s="133" t="str">
        <f>IF(OR(M12='Tabla Impacto'!$C$11,M12='Tabla Impacto'!$D$11),"Leve",IF(OR(M12='Tabla Impacto'!$C$12,M12='Tabla Impacto'!$D$12),"Menor",IF(OR(M12='Tabla Impacto'!$C$13,M12='Tabla Impacto'!$D$13),"Moderado",IF(OR(M12='Tabla Impacto'!$C$14,M12='Tabla Impacto'!$D$14),"Mayor",IF(OR(M12='Tabla Impacto'!$C$15,M12='Tabla Impacto'!$D$15),"Catastrófico","")))))</f>
        <v>Mayor</v>
      </c>
      <c r="O12" s="134">
        <f t="shared" si="1"/>
        <v>0.8</v>
      </c>
      <c r="P12" s="136" t="str">
        <f t="shared" si="2"/>
        <v>Alto</v>
      </c>
      <c r="Q12" s="152">
        <v>1</v>
      </c>
      <c r="R12" s="167" t="s">
        <v>352</v>
      </c>
      <c r="S12" s="137" t="str">
        <f t="shared" si="3"/>
        <v>Probabilidad</v>
      </c>
      <c r="T12" s="138" t="s">
        <v>15</v>
      </c>
      <c r="U12" s="138" t="s">
        <v>9</v>
      </c>
      <c r="V12" s="139" t="str">
        <f t="shared" si="4"/>
        <v>30%</v>
      </c>
      <c r="W12" s="138" t="s">
        <v>20</v>
      </c>
      <c r="X12" s="138" t="s">
        <v>23</v>
      </c>
      <c r="Y12" s="138" t="s">
        <v>119</v>
      </c>
      <c r="Z12" s="158">
        <f>IFERROR(IF(AND(S11="Probabilidad",S12="Probabilidad"),(AB11-(+AB11*V12)),IF(AND(S11="Impacto",S12="Probabilidad"),(AB10-(+AB10*V12)),IF(S12="Impacto",AB11,""))),"")</f>
        <v>9.0719999999999995E-2</v>
      </c>
      <c r="AA12" s="140" t="str">
        <f t="shared" si="5"/>
        <v>Muy Baja</v>
      </c>
      <c r="AB12" s="139">
        <f t="shared" ref="AB12:AB53" si="10">+Z12</f>
        <v>9.0719999999999995E-2</v>
      </c>
      <c r="AC12" s="140" t="str">
        <f t="shared" si="6"/>
        <v>Mayor</v>
      </c>
      <c r="AD12" s="139">
        <f t="shared" si="9"/>
        <v>0.8</v>
      </c>
      <c r="AE12" s="159" t="str">
        <f t="shared" si="7"/>
        <v>Alto</v>
      </c>
      <c r="AF12" s="138" t="s">
        <v>134</v>
      </c>
      <c r="AG12" s="125" t="s">
        <v>359</v>
      </c>
      <c r="AH12" s="126" t="s">
        <v>263</v>
      </c>
      <c r="AI12" s="129">
        <v>45688</v>
      </c>
      <c r="AJ12" s="129">
        <v>46022</v>
      </c>
      <c r="AK12" s="182" t="s">
        <v>559</v>
      </c>
      <c r="AL12" s="126" t="s">
        <v>414</v>
      </c>
    </row>
    <row r="13" spans="1:70" s="20" customFormat="1" ht="148.5" x14ac:dyDescent="0.25">
      <c r="A13" s="261"/>
      <c r="B13" s="190" t="s">
        <v>241</v>
      </c>
      <c r="C13" s="189">
        <v>5</v>
      </c>
      <c r="D13" s="125" t="s">
        <v>132</v>
      </c>
      <c r="E13" s="125" t="s">
        <v>245</v>
      </c>
      <c r="F13" s="125" t="s">
        <v>246</v>
      </c>
      <c r="G13" s="125" t="s">
        <v>453</v>
      </c>
      <c r="H13" s="125" t="s">
        <v>122</v>
      </c>
      <c r="I13" s="126">
        <v>365</v>
      </c>
      <c r="J13" s="133" t="str">
        <f t="shared" si="8"/>
        <v>Media</v>
      </c>
      <c r="K13" s="134">
        <f t="shared" si="0"/>
        <v>0.6</v>
      </c>
      <c r="L13" s="135" t="s">
        <v>152</v>
      </c>
      <c r="M13" s="134" t="str">
        <f>IF(NOT(ISERROR(MATCH(L13,_xlfn.ANCHORARRAY(#REF!),0))),K20&amp;"Por favor no seleccionar los criterios de impacto",L13)</f>
        <v xml:space="preserve">     El riesgo afecta la imagen de la entidad con algunos usuarios de relevancia frente al logro de los objetivos</v>
      </c>
      <c r="N13" s="133" t="str">
        <f>IF(OR(M13='Tabla Impacto'!$C$11,M13='Tabla Impacto'!$D$11),"Leve",IF(OR(M13='Tabla Impacto'!$C$12,M13='Tabla Impacto'!$D$12),"Menor",IF(OR(M13='Tabla Impacto'!$C$13,M13='Tabla Impacto'!$D$13),"Moderado",IF(OR(M13='Tabla Impacto'!$C$14,M13='Tabla Impacto'!$D$14),"Mayor",IF(OR(M13='Tabla Impacto'!$C$15,M13='Tabla Impacto'!$D$15),"Catastrófico","")))))</f>
        <v>Moderado</v>
      </c>
      <c r="O13" s="134">
        <f t="shared" si="1"/>
        <v>0.6</v>
      </c>
      <c r="P13" s="136" t="str">
        <f t="shared" si="2"/>
        <v>Moderado</v>
      </c>
      <c r="Q13" s="152">
        <v>1</v>
      </c>
      <c r="R13" s="166" t="s">
        <v>363</v>
      </c>
      <c r="S13" s="137" t="str">
        <f t="shared" si="3"/>
        <v>Probabilidad</v>
      </c>
      <c r="T13" s="138" t="s">
        <v>14</v>
      </c>
      <c r="U13" s="138" t="s">
        <v>9</v>
      </c>
      <c r="V13" s="139" t="str">
        <f t="shared" si="4"/>
        <v>40%</v>
      </c>
      <c r="W13" s="138" t="s">
        <v>19</v>
      </c>
      <c r="X13" s="138" t="s">
        <v>22</v>
      </c>
      <c r="Y13" s="138" t="s">
        <v>118</v>
      </c>
      <c r="Z13" s="158">
        <f>IFERROR(IF(AND(S12="Probabilidad",S13="Probabilidad"),(AB12-(+AB12*V13)),IF(AND(S12="Impacto",S13="Probabilidad"),(AB11-(+AB11*V13)),IF(S13="Impacto",AB12,""))),"")</f>
        <v>5.4431999999999994E-2</v>
      </c>
      <c r="AA13" s="140" t="str">
        <f t="shared" si="5"/>
        <v>Muy Baja</v>
      </c>
      <c r="AB13" s="139">
        <f t="shared" si="10"/>
        <v>5.4431999999999994E-2</v>
      </c>
      <c r="AC13" s="140" t="str">
        <f t="shared" si="6"/>
        <v>Moderado</v>
      </c>
      <c r="AD13" s="139">
        <f t="shared" si="9"/>
        <v>0.6</v>
      </c>
      <c r="AE13" s="159" t="str">
        <f t="shared" si="7"/>
        <v>Moderado</v>
      </c>
      <c r="AF13" s="138" t="s">
        <v>134</v>
      </c>
      <c r="AG13" s="125" t="s">
        <v>364</v>
      </c>
      <c r="AH13" s="126" t="s">
        <v>537</v>
      </c>
      <c r="AI13" s="129">
        <v>45688</v>
      </c>
      <c r="AJ13" s="129">
        <v>46022</v>
      </c>
      <c r="AK13" s="182" t="s">
        <v>560</v>
      </c>
      <c r="AL13" s="126" t="s">
        <v>414</v>
      </c>
    </row>
    <row r="14" spans="1:70" s="170" customFormat="1" ht="148.5" x14ac:dyDescent="0.25">
      <c r="A14" s="261"/>
      <c r="B14" s="190" t="s">
        <v>242</v>
      </c>
      <c r="C14" s="191">
        <v>6</v>
      </c>
      <c r="D14" s="125" t="s">
        <v>131</v>
      </c>
      <c r="E14" s="125" t="s">
        <v>247</v>
      </c>
      <c r="F14" s="125" t="s">
        <v>248</v>
      </c>
      <c r="G14" s="125" t="s">
        <v>454</v>
      </c>
      <c r="H14" s="125" t="s">
        <v>122</v>
      </c>
      <c r="I14" s="126">
        <v>300</v>
      </c>
      <c r="J14" s="198" t="str">
        <f t="shared" si="8"/>
        <v>Media</v>
      </c>
      <c r="K14" s="134">
        <f t="shared" si="0"/>
        <v>0.6</v>
      </c>
      <c r="L14" s="135" t="s">
        <v>152</v>
      </c>
      <c r="M14" s="134" t="str">
        <f>IF(NOT(ISERROR(MATCH(L14,_xlfn.ANCHORARRAY(G19),0))),#REF!&amp;"Por favor no seleccionar los criterios de impacto",L14)</f>
        <v xml:space="preserve">     El riesgo afecta la imagen de la entidad con algunos usuarios de relevancia frente al logro de los objetivos</v>
      </c>
      <c r="N14" s="198" t="str">
        <f>IF(OR(M14='Tabla Impacto'!$C$11,M14='Tabla Impacto'!$D$11),"Leve",IF(OR(M14='Tabla Impacto'!$C$12,M14='Tabla Impacto'!$D$12),"Menor",IF(OR(M14='Tabla Impacto'!$C$13,M14='Tabla Impacto'!$D$13),"Moderado",IF(OR(M14='Tabla Impacto'!$C$14,M14='Tabla Impacto'!$D$14),"Mayor",IF(OR(M14='Tabla Impacto'!$C$15,M14='Tabla Impacto'!$D$15),"Catastrófico","")))))</f>
        <v>Moderado</v>
      </c>
      <c r="O14" s="134">
        <f t="shared" si="1"/>
        <v>0.6</v>
      </c>
      <c r="P14" s="199" t="str">
        <f t="shared" si="2"/>
        <v>Moderado</v>
      </c>
      <c r="Q14" s="152">
        <v>1</v>
      </c>
      <c r="R14" s="166" t="s">
        <v>259</v>
      </c>
      <c r="S14" s="137" t="str">
        <f t="shared" si="3"/>
        <v>Probabilidad</v>
      </c>
      <c r="T14" s="138" t="s">
        <v>14</v>
      </c>
      <c r="U14" s="138" t="s">
        <v>9</v>
      </c>
      <c r="V14" s="139" t="str">
        <f t="shared" si="4"/>
        <v>40%</v>
      </c>
      <c r="W14" s="138" t="s">
        <v>19</v>
      </c>
      <c r="X14" s="138" t="s">
        <v>22</v>
      </c>
      <c r="Y14" s="138" t="s">
        <v>118</v>
      </c>
      <c r="Z14" s="158">
        <f>IFERROR(IF(AND(S13="Probabilidad",S14="Probabilidad"),(AB13-(+AB13*V14)),IF(AND(S13="Impacto",S14="Probabilidad"),(AB12-(+AB12*V14)),IF(S14="Impacto",AB13,""))),"")</f>
        <v>3.2659199999999999E-2</v>
      </c>
      <c r="AA14" s="168" t="str">
        <f t="shared" si="5"/>
        <v>Muy Baja</v>
      </c>
      <c r="AB14" s="139">
        <f t="shared" si="10"/>
        <v>3.2659199999999999E-2</v>
      </c>
      <c r="AC14" s="168" t="str">
        <f t="shared" si="6"/>
        <v>Moderado</v>
      </c>
      <c r="AD14" s="139">
        <f t="shared" si="9"/>
        <v>0.6</v>
      </c>
      <c r="AE14" s="169" t="str">
        <f t="shared" si="7"/>
        <v>Moderado</v>
      </c>
      <c r="AF14" s="138" t="s">
        <v>134</v>
      </c>
      <c r="AG14" s="125" t="s">
        <v>365</v>
      </c>
      <c r="AH14" s="125" t="s">
        <v>264</v>
      </c>
      <c r="AI14" s="129">
        <v>45688</v>
      </c>
      <c r="AJ14" s="129">
        <v>46022</v>
      </c>
      <c r="AK14" s="182" t="s">
        <v>549</v>
      </c>
      <c r="AL14" s="126" t="s">
        <v>414</v>
      </c>
      <c r="AM14" s="20"/>
      <c r="AN14" s="20"/>
      <c r="AO14" s="20"/>
      <c r="AP14" s="20"/>
      <c r="AQ14" s="20"/>
      <c r="AR14" s="20"/>
      <c r="AS14" s="20"/>
      <c r="AT14" s="20"/>
      <c r="AU14" s="20"/>
      <c r="AV14" s="20"/>
      <c r="AW14" s="20"/>
      <c r="AX14" s="20"/>
      <c r="AY14" s="20"/>
      <c r="AZ14" s="20"/>
      <c r="BA14" s="20"/>
      <c r="BB14" s="20"/>
      <c r="BC14" s="20"/>
      <c r="BD14" s="20"/>
      <c r="BE14" s="20"/>
      <c r="BF14" s="20"/>
    </row>
    <row r="15" spans="1:70" s="20" customFormat="1" ht="124.5" customHeight="1" x14ac:dyDescent="0.25">
      <c r="A15" s="261"/>
      <c r="B15" s="189" t="s">
        <v>215</v>
      </c>
      <c r="C15" s="189">
        <v>7</v>
      </c>
      <c r="D15" s="125" t="s">
        <v>132</v>
      </c>
      <c r="E15" s="125" t="s">
        <v>249</v>
      </c>
      <c r="F15" s="125" t="s">
        <v>250</v>
      </c>
      <c r="G15" s="125" t="s">
        <v>455</v>
      </c>
      <c r="H15" s="125" t="s">
        <v>128</v>
      </c>
      <c r="I15" s="126">
        <v>240</v>
      </c>
      <c r="J15" s="133" t="str">
        <f t="shared" si="8"/>
        <v>Media</v>
      </c>
      <c r="K15" s="134">
        <f t="shared" si="0"/>
        <v>0.6</v>
      </c>
      <c r="L15" s="135" t="s">
        <v>146</v>
      </c>
      <c r="M15" s="134" t="str">
        <f>IF(NOT(ISERROR(MATCH(L15,'Tabla Impacto'!$B$221:$B$223,0))),'Tabla Impacto'!$F$223&amp;"Por favor no seleccionar los criterios de impacto(Afectación Económica o presupuestal y Pérdida Reputacional)",L15)</f>
        <v xml:space="preserve">     Entre 50 y 100 SMLMV </v>
      </c>
      <c r="N15" s="133" t="str">
        <f>IF(OR(M15='Tabla Impacto'!$C$11,M15='Tabla Impacto'!$D$11),"Leve",IF(OR(M15='Tabla Impacto'!$C$12,M15='Tabla Impacto'!$D$12),"Menor",IF(OR(M15='Tabla Impacto'!$C$13,M15='Tabla Impacto'!$D$13),"Moderado",IF(OR(M15='Tabla Impacto'!$C$14,M15='Tabla Impacto'!$D$14),"Mayor",IF(OR(M15='Tabla Impacto'!$C$15,M15='Tabla Impacto'!$D$15),"Catastrófico","")))))</f>
        <v>Moderado</v>
      </c>
      <c r="O15" s="134">
        <f t="shared" si="1"/>
        <v>0.6</v>
      </c>
      <c r="P15" s="136" t="str">
        <f t="shared" si="2"/>
        <v>Moderado</v>
      </c>
      <c r="Q15" s="152">
        <v>2</v>
      </c>
      <c r="R15" s="166" t="s">
        <v>530</v>
      </c>
      <c r="S15" s="137" t="str">
        <f t="shared" si="3"/>
        <v>Probabilidad</v>
      </c>
      <c r="T15" s="138" t="s">
        <v>14</v>
      </c>
      <c r="U15" s="138" t="s">
        <v>9</v>
      </c>
      <c r="V15" s="139" t="str">
        <f t="shared" si="4"/>
        <v>40%</v>
      </c>
      <c r="W15" s="138" t="s">
        <v>19</v>
      </c>
      <c r="X15" s="138" t="s">
        <v>22</v>
      </c>
      <c r="Y15" s="138" t="s">
        <v>118</v>
      </c>
      <c r="Z15" s="158">
        <f>IFERROR(IF(S15="Probabilidad",(K15-(+K15*V15)),IF(S15="Impacto",K15,"")),"")</f>
        <v>0.36</v>
      </c>
      <c r="AA15" s="140" t="str">
        <f t="shared" si="5"/>
        <v>Baja</v>
      </c>
      <c r="AB15" s="139">
        <f t="shared" si="10"/>
        <v>0.36</v>
      </c>
      <c r="AC15" s="140" t="str">
        <f t="shared" si="6"/>
        <v>Moderado</v>
      </c>
      <c r="AD15" s="139">
        <f t="shared" si="9"/>
        <v>0.6</v>
      </c>
      <c r="AE15" s="159" t="str">
        <f t="shared" si="7"/>
        <v>Moderado</v>
      </c>
      <c r="AF15" s="138" t="s">
        <v>134</v>
      </c>
      <c r="AG15" s="166" t="s">
        <v>530</v>
      </c>
      <c r="AH15" s="125" t="s">
        <v>536</v>
      </c>
      <c r="AI15" s="129">
        <v>45688</v>
      </c>
      <c r="AJ15" s="129">
        <v>46022</v>
      </c>
      <c r="AK15" s="182" t="s">
        <v>561</v>
      </c>
      <c r="AL15" s="126" t="s">
        <v>414</v>
      </c>
      <c r="AM15" s="171"/>
    </row>
    <row r="16" spans="1:70" s="20" customFormat="1" ht="165" x14ac:dyDescent="0.25">
      <c r="A16" s="261"/>
      <c r="B16" s="189" t="s">
        <v>216</v>
      </c>
      <c r="C16" s="189" t="s">
        <v>540</v>
      </c>
      <c r="D16" s="125" t="s">
        <v>132</v>
      </c>
      <c r="E16" s="125" t="s">
        <v>251</v>
      </c>
      <c r="F16" s="125" t="s">
        <v>252</v>
      </c>
      <c r="G16" s="125" t="s">
        <v>522</v>
      </c>
      <c r="H16" s="125" t="s">
        <v>122</v>
      </c>
      <c r="I16" s="126">
        <v>365</v>
      </c>
      <c r="J16" s="133" t="str">
        <f t="shared" si="8"/>
        <v>Media</v>
      </c>
      <c r="K16" s="134">
        <f t="shared" si="0"/>
        <v>0.6</v>
      </c>
      <c r="L16" s="135" t="s">
        <v>146</v>
      </c>
      <c r="M16" s="134" t="str">
        <f>IF(NOT(ISERROR(MATCH(L16,_xlfn.ANCHORARRAY(#REF!),0))),K23&amp;"Por favor no seleccionar los criterios de impacto",L16)</f>
        <v xml:space="preserve">     Entre 50 y 100 SMLMV </v>
      </c>
      <c r="N16" s="133" t="str">
        <f>IF(OR(M16='Tabla Impacto'!$C$11,M16='Tabla Impacto'!$D$11),"Leve",IF(OR(M16='Tabla Impacto'!$C$12,M16='Tabla Impacto'!$D$12),"Menor",IF(OR(M16='Tabla Impacto'!$C$13,M16='Tabla Impacto'!$D$13),"Moderado",IF(OR(M16='Tabla Impacto'!$C$14,M16='Tabla Impacto'!$D$14),"Mayor",IF(OR(M16='Tabla Impacto'!$C$15,M16='Tabla Impacto'!$D$15),"Catastrófico","")))))</f>
        <v>Moderado</v>
      </c>
      <c r="O16" s="134">
        <f t="shared" si="1"/>
        <v>0.6</v>
      </c>
      <c r="P16" s="136" t="str">
        <f t="shared" si="2"/>
        <v>Moderado</v>
      </c>
      <c r="Q16" s="152">
        <v>1</v>
      </c>
      <c r="R16" s="166" t="s">
        <v>531</v>
      </c>
      <c r="S16" s="137" t="str">
        <f t="shared" si="3"/>
        <v>Probabilidad</v>
      </c>
      <c r="T16" s="138" t="s">
        <v>14</v>
      </c>
      <c r="U16" s="138" t="s">
        <v>9</v>
      </c>
      <c r="V16" s="139" t="str">
        <f t="shared" si="4"/>
        <v>40%</v>
      </c>
      <c r="W16" s="138" t="s">
        <v>19</v>
      </c>
      <c r="X16" s="138" t="s">
        <v>22</v>
      </c>
      <c r="Y16" s="138" t="s">
        <v>118</v>
      </c>
      <c r="Z16" s="158">
        <f>IFERROR(IF(AND(S15="Probabilidad",S16="Probabilidad"),(AB15-(+AB15*V16)),IF(S16="Probabilidad",(K15-(+K15*V16)),IF(S16="Impacto",AB15,""))),"")</f>
        <v>0.216</v>
      </c>
      <c r="AA16" s="140" t="str">
        <f t="shared" si="5"/>
        <v>Baja</v>
      </c>
      <c r="AB16" s="139">
        <f t="shared" si="10"/>
        <v>0.216</v>
      </c>
      <c r="AC16" s="140" t="str">
        <f t="shared" si="6"/>
        <v>Moderado</v>
      </c>
      <c r="AD16" s="139">
        <f t="shared" si="9"/>
        <v>0.6</v>
      </c>
      <c r="AE16" s="159" t="str">
        <f t="shared" si="7"/>
        <v>Moderado</v>
      </c>
      <c r="AF16" s="138" t="s">
        <v>32</v>
      </c>
      <c r="AG16" s="132" t="s">
        <v>531</v>
      </c>
      <c r="AH16" s="126" t="s">
        <v>538</v>
      </c>
      <c r="AI16" s="129">
        <v>45688</v>
      </c>
      <c r="AJ16" s="129">
        <v>46022</v>
      </c>
      <c r="AK16" s="182" t="s">
        <v>562</v>
      </c>
      <c r="AL16" s="126" t="s">
        <v>414</v>
      </c>
    </row>
    <row r="17" spans="1:41" s="20" customFormat="1" ht="181.5" x14ac:dyDescent="0.25">
      <c r="A17" s="261"/>
      <c r="B17" s="189" t="s">
        <v>216</v>
      </c>
      <c r="C17" s="189" t="s">
        <v>539</v>
      </c>
      <c r="D17" s="125" t="s">
        <v>132</v>
      </c>
      <c r="E17" s="125" t="s">
        <v>253</v>
      </c>
      <c r="F17" s="125" t="s">
        <v>254</v>
      </c>
      <c r="G17" s="125" t="s">
        <v>462</v>
      </c>
      <c r="H17" s="125" t="s">
        <v>122</v>
      </c>
      <c r="I17" s="126">
        <v>52</v>
      </c>
      <c r="J17" s="133" t="str">
        <f t="shared" si="8"/>
        <v>Media</v>
      </c>
      <c r="K17" s="134">
        <f t="shared" si="0"/>
        <v>0.6</v>
      </c>
      <c r="L17" s="135" t="s">
        <v>146</v>
      </c>
      <c r="M17" s="134" t="str">
        <f>IF(NOT(ISERROR(MATCH(L17,_xlfn.ANCHORARRAY(#REF!),0))),K24&amp;"Por favor no seleccionar los criterios de impacto",L17)</f>
        <v xml:space="preserve">     Entre 50 y 100 SMLMV </v>
      </c>
      <c r="N17" s="133" t="str">
        <f>IF(OR(M17='Tabla Impacto'!$C$11,M17='Tabla Impacto'!$D$11),"Leve",IF(OR(M17='Tabla Impacto'!$C$12,M17='Tabla Impacto'!$D$12),"Menor",IF(OR(M17='Tabla Impacto'!$C$13,M17='Tabla Impacto'!$D$13),"Moderado",IF(OR(M17='Tabla Impacto'!$C$14,M17='Tabla Impacto'!$D$14),"Mayor",IF(OR(M17='Tabla Impacto'!$C$15,M17='Tabla Impacto'!$D$15),"Catastrófico","")))))</f>
        <v>Moderado</v>
      </c>
      <c r="O17" s="134">
        <f t="shared" si="1"/>
        <v>0.6</v>
      </c>
      <c r="P17" s="136" t="str">
        <f t="shared" si="2"/>
        <v>Moderado</v>
      </c>
      <c r="Q17" s="152">
        <v>2</v>
      </c>
      <c r="R17" s="125" t="s">
        <v>260</v>
      </c>
      <c r="S17" s="137" t="str">
        <f t="shared" si="3"/>
        <v>Probabilidad</v>
      </c>
      <c r="T17" s="138" t="s">
        <v>14</v>
      </c>
      <c r="U17" s="138" t="s">
        <v>9</v>
      </c>
      <c r="V17" s="139" t="str">
        <f t="shared" si="4"/>
        <v>40%</v>
      </c>
      <c r="W17" s="138" t="s">
        <v>19</v>
      </c>
      <c r="X17" s="138" t="s">
        <v>22</v>
      </c>
      <c r="Y17" s="138" t="s">
        <v>118</v>
      </c>
      <c r="Z17" s="158">
        <f>IFERROR(IF(AND(S16="Probabilidad",S17="Probabilidad"),(AB16-(+AB16*V17)),IF(AND(S16="Impacto",S17="Probabilidad"),(AB15-(+AB15*V17)),IF(S17="Impacto",AB16,""))),"")</f>
        <v>0.12959999999999999</v>
      </c>
      <c r="AA17" s="140" t="str">
        <f t="shared" si="5"/>
        <v>Muy Baja</v>
      </c>
      <c r="AB17" s="139">
        <f t="shared" si="10"/>
        <v>0.12959999999999999</v>
      </c>
      <c r="AC17" s="140" t="str">
        <f t="shared" si="6"/>
        <v>Moderado</v>
      </c>
      <c r="AD17" s="139">
        <f t="shared" si="9"/>
        <v>0.6</v>
      </c>
      <c r="AE17" s="159" t="str">
        <f t="shared" si="7"/>
        <v>Moderado</v>
      </c>
      <c r="AF17" s="138" t="s">
        <v>32</v>
      </c>
      <c r="AG17" s="125" t="s">
        <v>523</v>
      </c>
      <c r="AH17" s="126" t="s">
        <v>263</v>
      </c>
      <c r="AI17" s="129">
        <v>45688</v>
      </c>
      <c r="AJ17" s="129">
        <v>46022</v>
      </c>
      <c r="AK17" s="182" t="s">
        <v>563</v>
      </c>
      <c r="AL17" s="126" t="s">
        <v>414</v>
      </c>
    </row>
    <row r="18" spans="1:41" s="20" customFormat="1" ht="198" customHeight="1" x14ac:dyDescent="0.25">
      <c r="A18" s="262"/>
      <c r="B18" s="189" t="s">
        <v>217</v>
      </c>
      <c r="C18" s="189">
        <v>9</v>
      </c>
      <c r="D18" s="125" t="s">
        <v>463</v>
      </c>
      <c r="E18" s="172" t="s">
        <v>255</v>
      </c>
      <c r="F18" s="172" t="s">
        <v>256</v>
      </c>
      <c r="G18" s="173" t="s">
        <v>464</v>
      </c>
      <c r="H18" s="125" t="s">
        <v>122</v>
      </c>
      <c r="I18" s="126">
        <v>60</v>
      </c>
      <c r="J18" s="133" t="str">
        <f t="shared" si="8"/>
        <v>Media</v>
      </c>
      <c r="K18" s="134">
        <f t="shared" si="0"/>
        <v>0.6</v>
      </c>
      <c r="L18" s="135" t="s">
        <v>152</v>
      </c>
      <c r="M18" s="134" t="str">
        <f>IF(NOT(ISERROR(MATCH(L18,_xlfn.ANCHORARRAY(G24),0))),K25&amp;"Por favor no seleccionar los criterios de impacto",L18)</f>
        <v xml:space="preserve">     El riesgo afecta la imagen de la entidad con algunos usuarios de relevancia frente al logro de los objetivos</v>
      </c>
      <c r="N18" s="133" t="str">
        <f>IF(OR(M18='Tabla Impacto'!$C$11,M18='Tabla Impacto'!$D$11),"Leve",IF(OR(M18='Tabla Impacto'!$C$12,M18='Tabla Impacto'!$D$12),"Menor",IF(OR(M18='Tabla Impacto'!$C$13,M18='Tabla Impacto'!$D$13),"Moderado",IF(OR(M18='Tabla Impacto'!$C$14,M18='Tabla Impacto'!$D$14),"Mayor",IF(OR(M18='Tabla Impacto'!$C$15,M18='Tabla Impacto'!$D$15),"Catastrófico","")))))</f>
        <v>Moderado</v>
      </c>
      <c r="O18" s="134">
        <f t="shared" si="1"/>
        <v>0.6</v>
      </c>
      <c r="P18" s="136" t="str">
        <f t="shared" si="2"/>
        <v>Moderado</v>
      </c>
      <c r="Q18" s="152">
        <v>1</v>
      </c>
      <c r="R18" s="125" t="s">
        <v>532</v>
      </c>
      <c r="S18" s="137" t="str">
        <f t="shared" si="3"/>
        <v>Probabilidad</v>
      </c>
      <c r="T18" s="138" t="s">
        <v>15</v>
      </c>
      <c r="U18" s="138" t="s">
        <v>9</v>
      </c>
      <c r="V18" s="139" t="str">
        <f t="shared" si="4"/>
        <v>30%</v>
      </c>
      <c r="W18" s="138" t="s">
        <v>19</v>
      </c>
      <c r="X18" s="138" t="s">
        <v>22</v>
      </c>
      <c r="Y18" s="138" t="s">
        <v>118</v>
      </c>
      <c r="Z18" s="158" t="str">
        <f>IFERROR(IF(AND(#REF!="Probabilidad",S18="Probabilidad"),(#REF!-(+#REF!*V18)),IF(AND(#REF!="Impacto",S18="Probabilidad"),(AB17-(+AB17*V18)),IF(S18="Impacto",#REF!,""))),"")</f>
        <v/>
      </c>
      <c r="AA18" s="140" t="str">
        <f t="shared" si="5"/>
        <v/>
      </c>
      <c r="AB18" s="139" t="str">
        <f t="shared" si="10"/>
        <v/>
      </c>
      <c r="AC18" s="140" t="str">
        <f t="shared" si="6"/>
        <v>Moderado</v>
      </c>
      <c r="AD18" s="139">
        <f t="shared" si="9"/>
        <v>0.6</v>
      </c>
      <c r="AE18" s="159" t="str">
        <f t="shared" si="7"/>
        <v/>
      </c>
      <c r="AF18" s="138" t="s">
        <v>32</v>
      </c>
      <c r="AG18" s="125" t="s">
        <v>532</v>
      </c>
      <c r="AH18" s="125" t="s">
        <v>389</v>
      </c>
      <c r="AI18" s="129">
        <v>45688</v>
      </c>
      <c r="AJ18" s="129">
        <v>46022</v>
      </c>
      <c r="AK18" s="182" t="s">
        <v>543</v>
      </c>
      <c r="AL18" s="126" t="s">
        <v>414</v>
      </c>
      <c r="AM18" s="174"/>
    </row>
    <row r="19" spans="1:41" s="20" customFormat="1" ht="115.5" x14ac:dyDescent="0.25">
      <c r="A19" s="153" t="s">
        <v>219</v>
      </c>
      <c r="B19" s="189" t="s">
        <v>218</v>
      </c>
      <c r="C19" s="189">
        <v>10</v>
      </c>
      <c r="D19" s="125" t="s">
        <v>130</v>
      </c>
      <c r="E19" s="172" t="s">
        <v>446</v>
      </c>
      <c r="F19" s="172" t="s">
        <v>590</v>
      </c>
      <c r="G19" s="173" t="s">
        <v>591</v>
      </c>
      <c r="H19" s="125" t="s">
        <v>122</v>
      </c>
      <c r="I19" s="126">
        <v>76</v>
      </c>
      <c r="J19" s="133" t="str">
        <f t="shared" si="8"/>
        <v>Media</v>
      </c>
      <c r="K19" s="134">
        <f t="shared" si="0"/>
        <v>0.6</v>
      </c>
      <c r="L19" s="135" t="s">
        <v>152</v>
      </c>
      <c r="M19" s="134" t="str">
        <f>IF(NOT(ISERROR(MATCH(L19,_xlfn.ANCHORARRAY(G28),0))),K30&amp;"Por favor no seleccionar los criterios de impacto",L19)</f>
        <v xml:space="preserve">     El riesgo afecta la imagen de la entidad con algunos usuarios de relevancia frente al logro de los objetivos</v>
      </c>
      <c r="N19" s="133" t="str">
        <f>IF(OR(M19='Tabla Impacto'!$C$11,M19='Tabla Impacto'!$D$11),"Leve",IF(OR(M19='Tabla Impacto'!$C$12,M19='Tabla Impacto'!$D$12),"Menor",IF(OR(M19='Tabla Impacto'!$C$13,M19='Tabla Impacto'!$D$13),"Moderado",IF(OR(M19='Tabla Impacto'!$C$14,M19='Tabla Impacto'!$D$14),"Mayor",IF(OR(M19='Tabla Impacto'!$C$15,M19='Tabla Impacto'!$D$15),"Catastrófico","")))))</f>
        <v>Moderado</v>
      </c>
      <c r="O19" s="134">
        <f t="shared" si="1"/>
        <v>0.6</v>
      </c>
      <c r="P19" s="136" t="str">
        <f t="shared" si="2"/>
        <v>Moderado</v>
      </c>
      <c r="Q19" s="152">
        <v>1</v>
      </c>
      <c r="R19" s="125" t="s">
        <v>447</v>
      </c>
      <c r="S19" s="137" t="str">
        <f t="shared" si="3"/>
        <v>Probabilidad</v>
      </c>
      <c r="T19" s="138" t="s">
        <v>14</v>
      </c>
      <c r="U19" s="138" t="s">
        <v>9</v>
      </c>
      <c r="V19" s="139" t="str">
        <f t="shared" si="4"/>
        <v>40%</v>
      </c>
      <c r="W19" s="138" t="s">
        <v>19</v>
      </c>
      <c r="X19" s="138" t="s">
        <v>22</v>
      </c>
      <c r="Y19" s="138" t="s">
        <v>118</v>
      </c>
      <c r="Z19" s="158" t="str">
        <f>IFERROR(IF(AND(S18="Probabilidad",S19="Probabilidad"),(AB18-(+AB18*V19)),IF(AND(S18="Impacto",S19="Probabilidad"),(#REF!-(+#REF!*V19)),IF(S19="Impacto",AB18,""))),"")</f>
        <v/>
      </c>
      <c r="AA19" s="140" t="str">
        <f>IFERROR(IF(Z19="","",IF(Z19&lt;=0.2,"Muy Baja",IF(Z19&lt;=0.4,"Baja",IF(Z19&lt;=0.6,"Media",IF(Z19&lt;=0.8,"Alta","Muy Alta"))))),"")</f>
        <v/>
      </c>
      <c r="AB19" s="139" t="str">
        <f>+Z19</f>
        <v/>
      </c>
      <c r="AC19" s="140" t="str">
        <f t="shared" si="6"/>
        <v>Moderado</v>
      </c>
      <c r="AD19" s="139">
        <f t="shared" si="9"/>
        <v>0.6</v>
      </c>
      <c r="AE19" s="159" t="str">
        <f>IFERROR(IF(OR(AND(AA19="Muy Baja",AC19="Leve"),AND(AA19="Muy Baja",AC19="Menor"),AND(AA19="Baja",AC19="Leve")),"Bajo",IF(OR(AND(AA19="Muy baja",AC19="Moderado"),AND(AA19="Baja",AC19="Menor"),AND(AA19="Baja",AC19="Moderado"),AND(AA19="Media",AC19="Leve"),AND(AA19="Media",AC19="Menor"),AND(AA19="Media",AC19="Moderado"),AND(AA19="Alta",AC19="Leve"),AND(AA19="Alta",AC19="Menor")),"Moderado",IF(OR(AND(AA19="Muy Baja",AC19="Mayor"),AND(AA19="Baja",AC19="Mayor"),AND(AA19="Media",AC19="Mayor"),AND(AA19="Alta",AC19="Moderado"),AND(AA19="Alta",AC19="Mayor"),AND(AA19="Muy Alta",AC19="Leve"),AND(AA19="Muy Alta",AC19="Menor"),AND(AA19="Muy Alta",AC19="Moderado"),AND(AA19="Muy Alta",AC19="Mayor")),"Alto",IF(OR(AND(AA19="Muy Baja",AC19="Catastrófico"),AND(AA19="Baja",AC19="Catastrófico"),AND(AA19="Media",AC19="Catastrófico"),AND(AA19="Alta",AC19="Catastrófico"),AND(AA19="Muy Alta",AC19="Catastrófico")),"Extremo","")))),"")</f>
        <v/>
      </c>
      <c r="AF19" s="138" t="s">
        <v>134</v>
      </c>
      <c r="AG19" s="125" t="s">
        <v>592</v>
      </c>
      <c r="AH19" s="125" t="s">
        <v>360</v>
      </c>
      <c r="AI19" s="129">
        <v>45688</v>
      </c>
      <c r="AJ19" s="129">
        <v>46022</v>
      </c>
      <c r="AK19" s="182" t="s">
        <v>593</v>
      </c>
      <c r="AL19" s="126" t="s">
        <v>414</v>
      </c>
    </row>
    <row r="20" spans="1:41" s="20" customFormat="1" ht="132" x14ac:dyDescent="0.25">
      <c r="A20" s="263" t="s">
        <v>220</v>
      </c>
      <c r="B20" s="189" t="s">
        <v>220</v>
      </c>
      <c r="C20" s="189">
        <v>11</v>
      </c>
      <c r="D20" s="125" t="s">
        <v>130</v>
      </c>
      <c r="E20" s="130" t="s">
        <v>432</v>
      </c>
      <c r="F20" s="130" t="s">
        <v>433</v>
      </c>
      <c r="G20" s="131" t="s">
        <v>467</v>
      </c>
      <c r="H20" s="125" t="s">
        <v>122</v>
      </c>
      <c r="I20" s="126">
        <v>1500</v>
      </c>
      <c r="J20" s="133" t="str">
        <f t="shared" si="8"/>
        <v>Alta</v>
      </c>
      <c r="K20" s="134">
        <f t="shared" si="0"/>
        <v>0.8</v>
      </c>
      <c r="L20" s="135" t="s">
        <v>150</v>
      </c>
      <c r="M20" s="134" t="s">
        <v>429</v>
      </c>
      <c r="N20" s="133" t="str">
        <f>IF(OR(M20='Tabla Impacto'!$C$11,M20='Tabla Impacto'!$D$11),"Leve",IF(OR(M20='Tabla Impacto'!$C$12,M20='Tabla Impacto'!$D$12),"Menor",IF(OR(M20='Tabla Impacto'!$C$13,M20='Tabla Impacto'!$D$13),"Moderado",IF(OR(M20='Tabla Impacto'!$C$14,M20='Tabla Impacto'!$D$14),"Mayor",IF(OR(M20='Tabla Impacto'!$C$15,M20='Tabla Impacto'!$D$15),"Catastrófico","")))))</f>
        <v/>
      </c>
      <c r="O20" s="134" t="str">
        <f t="shared" si="1"/>
        <v/>
      </c>
      <c r="P20" s="136" t="str">
        <f t="shared" si="2"/>
        <v/>
      </c>
      <c r="Q20" s="152">
        <v>1</v>
      </c>
      <c r="R20" s="149" t="s">
        <v>434</v>
      </c>
      <c r="S20" s="137" t="str">
        <f t="shared" si="3"/>
        <v>Probabilidad</v>
      </c>
      <c r="T20" s="138" t="s">
        <v>14</v>
      </c>
      <c r="U20" s="138" t="s">
        <v>9</v>
      </c>
      <c r="V20" s="139" t="str">
        <f t="shared" si="4"/>
        <v>40%</v>
      </c>
      <c r="W20" s="138" t="s">
        <v>19</v>
      </c>
      <c r="X20" s="138" t="s">
        <v>22</v>
      </c>
      <c r="Y20" s="138" t="s">
        <v>118</v>
      </c>
      <c r="Z20" s="158" t="str">
        <f>IFERROR(IF(AND(S19="Probabilidad",S20="Probabilidad"),(AB19-(+AB19*V20)),IF(AND(S19="Impacto",S20="Probabilidad"),(#REF!-(+#REF!*V20)),IF(S20="Impacto",AB19,""))),"")</f>
        <v/>
      </c>
      <c r="AA20" s="140" t="s">
        <v>518</v>
      </c>
      <c r="AB20" s="139" t="str">
        <f t="shared" si="10"/>
        <v/>
      </c>
      <c r="AC20" s="140" t="str">
        <f t="shared" si="6"/>
        <v/>
      </c>
      <c r="AD20" s="139" t="str">
        <f t="shared" si="9"/>
        <v/>
      </c>
      <c r="AE20" s="159" t="str">
        <f>IFERROR(IF(OR(AND(AA20="Muy Baja",AC20="Leve"),AND(AA20="Muy Baja",AC20="Menor"),AND(AA20="Baja",AC20="Leve")),"Bajo",IF(OR(AND(AA20="Muy baja",AC20="Moderado"),AND(AA20="Baja",AC20="Menor"),AND(AA20="Baja",AC20="Moderado"),AND(AA20="Media",AC20="Leve"),AND(AA20="Media",AC20="Menor"),AND(AA20="Media",AC20="Moderado"),AND(AA20="Alta",AC20="Leve"),AND(AA20="Alta",AC20="Menor")),"Moderado",IF(OR(AND(AA20="Muy Baja",AC20="Mayor"),AND(AA20="Baja",AC20="Mayor"),AND(AA20="Media",AC20="Mayor"),AND(AA20="Alta",AC20="Moderado"),AND(AA20="Alta",AC20="Mayor"),AND(AA20="Muy Alta",AC20="Leve"),AND(AA20="Muy Alta",AC20="Menor"),AND(AA20="Muy Alta",AC20="Moderado"),AND(AA20="Muy Alta",AC20="Mayor")),"Alto",IF(OR(AND(AA20="Muy Baja",AC20="Catastrófico"),AND(AA20="Baja",AC20="Catastrófico"),AND(AA20="Media",AC20="Catastrófico"),AND(AA20="Alta",AC20="Catastrófico"),AND(AA20="Muy Alta",AC20="Catastrófico")),"Extremo","")))),"")</f>
        <v/>
      </c>
      <c r="AF20" s="138" t="s">
        <v>32</v>
      </c>
      <c r="AG20" s="125" t="s">
        <v>434</v>
      </c>
      <c r="AH20" s="125" t="s">
        <v>279</v>
      </c>
      <c r="AI20" s="129">
        <v>45688</v>
      </c>
      <c r="AJ20" s="129">
        <v>46022</v>
      </c>
      <c r="AK20" s="182" t="s">
        <v>547</v>
      </c>
      <c r="AL20" s="126" t="s">
        <v>414</v>
      </c>
    </row>
    <row r="21" spans="1:41" s="20" customFormat="1" ht="82.5" x14ac:dyDescent="0.25">
      <c r="A21" s="264"/>
      <c r="B21" s="189" t="s">
        <v>220</v>
      </c>
      <c r="C21" s="189">
        <v>12</v>
      </c>
      <c r="D21" s="125" t="s">
        <v>465</v>
      </c>
      <c r="E21" s="130" t="s">
        <v>435</v>
      </c>
      <c r="F21" s="131" t="s">
        <v>436</v>
      </c>
      <c r="G21" s="132" t="s">
        <v>466</v>
      </c>
      <c r="H21" s="125" t="s">
        <v>122</v>
      </c>
      <c r="I21" s="126">
        <v>300</v>
      </c>
      <c r="J21" s="133" t="str">
        <f>IF(I21&lt;=0,"",IF(I21&lt;=2,"Muy Baja",IF(I21&lt;=24,"Baja",IF(I21&lt;=500,"Media",IF(I21&lt;=5000,"Alta","Muy Alta")))))</f>
        <v>Media</v>
      </c>
      <c r="K21" s="134">
        <f t="shared" si="0"/>
        <v>0.6</v>
      </c>
      <c r="L21" s="135" t="s">
        <v>150</v>
      </c>
      <c r="M21" s="134" t="s">
        <v>429</v>
      </c>
      <c r="N21" s="133" t="str">
        <f>IF(OR(M21='Tabla Impacto'!$C$11,M21='Tabla Impacto'!$D$11),"Leve",IF(OR(M21='Tabla Impacto'!$C$12,M21='Tabla Impacto'!$D$12),"Menor",IF(OR(M21='Tabla Impacto'!$C$13,M21='Tabla Impacto'!$D$13),"Moderado",IF(OR(M21='Tabla Impacto'!$C$14,M21='Tabla Impacto'!$D$14),"Mayor",IF(OR(M21='Tabla Impacto'!$C$15,M21='Tabla Impacto'!$D$15),"Catastrófico","")))))</f>
        <v/>
      </c>
      <c r="O21" s="134" t="str">
        <f>IF(N21="","",IF(N21="Leve",0.2,IF(N21="Menor",0.4,IF(N21="Moderado",0.6,IF(N21="Mayor",0.8,IF(N21="Catastrófico",1,))))))</f>
        <v/>
      </c>
      <c r="P21" s="136" t="str">
        <f>IF(OR(AND(J21="Muy Baja",N21="Leve"),AND(J21="Muy Baja",N21="Menor"),AND(J21="Baja",N21="Leve")),"Bajo",IF(OR(AND(J21="Muy baja",N21="Moderado"),AND(J21="Baja",N21="Menor"),AND(J21="Baja",N21="Moderado"),AND(J21="Media",N21="Leve"),AND(J21="Media",N21="Menor"),AND(J21="Media",N21="Moderado"),AND(J21="Alta",N21="Leve"),AND(J21="Alta",N21="Menor")),"Moderado",IF(OR(AND(J21="Muy Baja",N21="Mayor"),AND(J21="Baja",N21="Mayor"),AND(J21="Media",N21="Mayor"),AND(J21="Alta",N21="Moderado"),AND(J21="Alta",N21="Mayor"),AND(J21="Muy Alta",N21="Leve"),AND(J21="Muy Alta",N21="Menor"),AND(J21="Muy Alta",N21="Moderado"),AND(J21="Muy Alta",N21="Mayor")),"Alto",IF(OR(AND(J21="Muy Baja",N21="Catastrófico"),AND(J21="Baja",N21="Catastrófico"),AND(J21="Media",N21="Catastrófico"),AND(J21="Alta",N21="Catastrófico"),AND(J21="Muy Alta",N21="Catastrófico")),"Extremo",""))))</f>
        <v/>
      </c>
      <c r="Q21" s="152"/>
      <c r="R21" s="149" t="s">
        <v>437</v>
      </c>
      <c r="S21" s="137" t="str">
        <f t="shared" si="3"/>
        <v>Probabilidad</v>
      </c>
      <c r="T21" s="138" t="s">
        <v>14</v>
      </c>
      <c r="U21" s="138" t="s">
        <v>9</v>
      </c>
      <c r="V21" s="139" t="str">
        <f t="shared" si="4"/>
        <v>40%</v>
      </c>
      <c r="W21" s="138" t="s">
        <v>19</v>
      </c>
      <c r="X21" s="138" t="s">
        <v>22</v>
      </c>
      <c r="Y21" s="138" t="s">
        <v>118</v>
      </c>
      <c r="Z21" s="158">
        <f>IFERROR(IF(S21="Probabilidad",(K21-(+K21*V21)),IF(S21="Impacto",K21,"")),"")</f>
        <v>0.36</v>
      </c>
      <c r="AA21" s="140" t="str">
        <f>IFERROR(IF(Z21="","",IF(Z21&lt;=0.2,"Muy Baja",IF(Z21&lt;=0.4,"Baja",IF(Z21&lt;=0.6,"Media",IF(Z21&lt;=0.8,"Alta","Muy Alta"))))),"")</f>
        <v>Baja</v>
      </c>
      <c r="AB21" s="139">
        <f>+Z21</f>
        <v>0.36</v>
      </c>
      <c r="AC21" s="140" t="str">
        <f>IFERROR(IF(AD21="","",IF(AD21&lt;=0.2,"Leve",IF(AD21&lt;=0.4,"Menor",IF(AD21&lt;=0.6,"Moderado",IF(AD21&lt;=0.8,"Mayor","Catastrófico"))))),"")</f>
        <v/>
      </c>
      <c r="AD21" s="139" t="str">
        <f>IFERROR(IF(S21="Impacto",(O21-(+O21*V21)),IF(S21="Probabilidad",O21,"")),"")</f>
        <v/>
      </c>
      <c r="AE21" s="159" t="str">
        <f>IFERROR(IF(OR(AND(AA21="Muy Baja",AC21="Leve"),AND(AA21="Muy Baja",AC21="Menor"),AND(AA21="Baja",AC21="Leve")),"Bajo",IF(OR(AND(AA21="Muy baja",AC21="Moderado"),AND(AA21="Baja",AC21="Menor"),AND(AA21="Baja",AC21="Moderado"),AND(AA21="Media",AC21="Leve"),AND(AA21="Media",AC21="Menor"),AND(AA21="Media",AC21="Moderado"),AND(AA21="Alta",AC21="Leve"),AND(AA21="Alta",AC21="Menor")),"Moderado",IF(OR(AND(AA21="Muy Baja",AC21="Mayor"),AND(AA21="Baja",AC21="Mayor"),AND(AA21="Media",AC21="Mayor"),AND(AA21="Alta",AC21="Moderado"),AND(AA21="Alta",AC21="Mayor"),AND(AA21="Muy Alta",AC21="Leve"),AND(AA21="Muy Alta",AC21="Menor"),AND(AA21="Muy Alta",AC21="Moderado"),AND(AA21="Muy Alta",AC21="Mayor")),"Alto",IF(OR(AND(AA21="Muy Baja",AC21="Catastrófico"),AND(AA21="Baja",AC21="Catastrófico"),AND(AA21="Media",AC21="Catastrófico"),AND(AA21="Alta",AC21="Catastrófico"),AND(AA21="Muy Alta",AC21="Catastrófico")),"Extremo","")))),"")</f>
        <v/>
      </c>
      <c r="AF21" s="138" t="s">
        <v>32</v>
      </c>
      <c r="AG21" s="125" t="s">
        <v>437</v>
      </c>
      <c r="AH21" s="125" t="s">
        <v>279</v>
      </c>
      <c r="AI21" s="129">
        <v>45688</v>
      </c>
      <c r="AJ21" s="129">
        <v>46022</v>
      </c>
      <c r="AK21" s="182" t="s">
        <v>548</v>
      </c>
      <c r="AL21" s="126" t="s">
        <v>414</v>
      </c>
    </row>
    <row r="22" spans="1:41" s="20" customFormat="1" ht="148.5" x14ac:dyDescent="0.25">
      <c r="A22" s="154"/>
      <c r="B22" s="189" t="s">
        <v>409</v>
      </c>
      <c r="C22" s="189">
        <v>13</v>
      </c>
      <c r="D22" s="125" t="s">
        <v>130</v>
      </c>
      <c r="E22" s="130" t="s">
        <v>422</v>
      </c>
      <c r="F22" s="131" t="s">
        <v>423</v>
      </c>
      <c r="G22" s="132" t="s">
        <v>424</v>
      </c>
      <c r="H22" s="125" t="s">
        <v>127</v>
      </c>
      <c r="I22" s="126">
        <v>96</v>
      </c>
      <c r="J22" s="133" t="s">
        <v>6</v>
      </c>
      <c r="K22" s="134">
        <v>0.8</v>
      </c>
      <c r="L22" s="135" t="s">
        <v>151</v>
      </c>
      <c r="M22" s="134" t="s">
        <v>97</v>
      </c>
      <c r="N22" s="133" t="s">
        <v>7</v>
      </c>
      <c r="O22" s="134">
        <v>0.8</v>
      </c>
      <c r="P22" s="136" t="s">
        <v>6</v>
      </c>
      <c r="Q22" s="152">
        <v>1</v>
      </c>
      <c r="R22" s="125" t="s">
        <v>524</v>
      </c>
      <c r="S22" s="137" t="s">
        <v>4</v>
      </c>
      <c r="T22" s="138" t="s">
        <v>16</v>
      </c>
      <c r="U22" s="138" t="s">
        <v>9</v>
      </c>
      <c r="V22" s="139">
        <v>0.8</v>
      </c>
      <c r="W22" s="138" t="s">
        <v>410</v>
      </c>
      <c r="X22" s="138" t="s">
        <v>411</v>
      </c>
      <c r="Y22" s="138" t="s">
        <v>412</v>
      </c>
      <c r="Z22" s="158">
        <v>0.8</v>
      </c>
      <c r="AA22" s="140" t="s">
        <v>79</v>
      </c>
      <c r="AB22" s="139">
        <v>0.8</v>
      </c>
      <c r="AC22" s="140" t="s">
        <v>79</v>
      </c>
      <c r="AD22" s="139">
        <v>0.8</v>
      </c>
      <c r="AE22" s="159" t="s">
        <v>79</v>
      </c>
      <c r="AF22" s="138" t="s">
        <v>134</v>
      </c>
      <c r="AG22" s="125" t="s">
        <v>524</v>
      </c>
      <c r="AH22" s="125" t="s">
        <v>332</v>
      </c>
      <c r="AI22" s="129">
        <v>45688</v>
      </c>
      <c r="AJ22" s="129">
        <v>46022</v>
      </c>
      <c r="AK22" s="182" t="s">
        <v>550</v>
      </c>
      <c r="AL22" s="126" t="s">
        <v>414</v>
      </c>
    </row>
    <row r="23" spans="1:41" s="20" customFormat="1" ht="99" x14ac:dyDescent="0.25">
      <c r="A23" s="263" t="s">
        <v>221</v>
      </c>
      <c r="B23" s="189" t="s">
        <v>221</v>
      </c>
      <c r="C23" s="189">
        <v>14</v>
      </c>
      <c r="D23" s="125" t="s">
        <v>130</v>
      </c>
      <c r="E23" s="130" t="s">
        <v>422</v>
      </c>
      <c r="F23" s="130" t="s">
        <v>425</v>
      </c>
      <c r="G23" s="131" t="s">
        <v>426</v>
      </c>
      <c r="H23" s="125" t="s">
        <v>127</v>
      </c>
      <c r="I23" s="126">
        <v>36000</v>
      </c>
      <c r="J23" s="133" t="str">
        <f t="shared" ref="J23:J60" si="11">IF(I23&lt;=0,"",IF(I23&lt;=2,"Muy Baja",IF(I23&lt;=24,"Baja",IF(I23&lt;=500,"Media",IF(I23&lt;=5000,"Alta","Muy Alta")))))</f>
        <v>Muy Alta</v>
      </c>
      <c r="K23" s="134">
        <f t="shared" si="0"/>
        <v>1</v>
      </c>
      <c r="L23" s="135" t="s">
        <v>151</v>
      </c>
      <c r="M23" s="134" t="s">
        <v>97</v>
      </c>
      <c r="N23" s="133" t="s">
        <v>53</v>
      </c>
      <c r="O23" s="134">
        <v>1</v>
      </c>
      <c r="P23" s="136" t="s">
        <v>53</v>
      </c>
      <c r="Q23" s="152">
        <v>1</v>
      </c>
      <c r="R23" s="125" t="s">
        <v>525</v>
      </c>
      <c r="S23" s="137" t="str">
        <f t="shared" si="3"/>
        <v>Probabilidad</v>
      </c>
      <c r="T23" s="138" t="s">
        <v>15</v>
      </c>
      <c r="U23" s="138" t="s">
        <v>9</v>
      </c>
      <c r="V23" s="139" t="str">
        <f t="shared" si="4"/>
        <v>30%</v>
      </c>
      <c r="W23" s="138" t="s">
        <v>19</v>
      </c>
      <c r="X23" s="138" t="s">
        <v>23</v>
      </c>
      <c r="Y23" s="138" t="s">
        <v>118</v>
      </c>
      <c r="Z23" s="158">
        <f>IFERROR(IF(S23="Probabilidad",(K23-(+K23*V23)),IF(S23="Impacto",K23,"")),"")</f>
        <v>0.7</v>
      </c>
      <c r="AA23" s="140" t="str">
        <f>IFERROR(IF(Z23="","",IF(Z23&lt;=0.2,"Muy Baja",IF(Z23&lt;=0.4,"Baja",IF(Z23&lt;=0.6,"Media",IF(Z23&lt;=0.8,"Alta","Muy Alta"))))),"")</f>
        <v>Alta</v>
      </c>
      <c r="AB23" s="139">
        <f t="shared" si="10"/>
        <v>0.7</v>
      </c>
      <c r="AC23" s="140" t="str">
        <f t="shared" si="6"/>
        <v>Catastrófico</v>
      </c>
      <c r="AD23" s="139">
        <f t="shared" si="9"/>
        <v>1</v>
      </c>
      <c r="AE23" s="159" t="str">
        <f t="shared" si="7"/>
        <v>Extremo</v>
      </c>
      <c r="AF23" s="138" t="s">
        <v>32</v>
      </c>
      <c r="AG23" s="125" t="s">
        <v>430</v>
      </c>
      <c r="AH23" s="125" t="s">
        <v>332</v>
      </c>
      <c r="AI23" s="129">
        <v>45688</v>
      </c>
      <c r="AJ23" s="129">
        <v>46022</v>
      </c>
      <c r="AK23" s="182" t="s">
        <v>551</v>
      </c>
      <c r="AL23" s="126" t="s">
        <v>414</v>
      </c>
    </row>
    <row r="24" spans="1:41" s="20" customFormat="1" ht="115.5" x14ac:dyDescent="0.25">
      <c r="A24" s="264"/>
      <c r="B24" s="189" t="s">
        <v>221</v>
      </c>
      <c r="C24" s="189">
        <v>15</v>
      </c>
      <c r="D24" s="125" t="s">
        <v>130</v>
      </c>
      <c r="E24" s="130" t="s">
        <v>427</v>
      </c>
      <c r="F24" s="130" t="s">
        <v>428</v>
      </c>
      <c r="G24" s="131" t="s">
        <v>526</v>
      </c>
      <c r="H24" s="125" t="s">
        <v>122</v>
      </c>
      <c r="I24" s="126">
        <v>3000</v>
      </c>
      <c r="J24" s="133" t="str">
        <f t="shared" si="11"/>
        <v>Alta</v>
      </c>
      <c r="K24" s="134">
        <f t="shared" si="0"/>
        <v>0.8</v>
      </c>
      <c r="L24" s="135" t="s">
        <v>150</v>
      </c>
      <c r="M24" s="134" t="s">
        <v>429</v>
      </c>
      <c r="N24" s="133" t="s">
        <v>6</v>
      </c>
      <c r="O24" s="134">
        <v>0.8</v>
      </c>
      <c r="P24" s="136" t="s">
        <v>6</v>
      </c>
      <c r="Q24" s="152">
        <v>1</v>
      </c>
      <c r="R24" s="125" t="s">
        <v>527</v>
      </c>
      <c r="S24" s="137" t="str">
        <f t="shared" si="3"/>
        <v>Probabilidad</v>
      </c>
      <c r="T24" s="138" t="s">
        <v>14</v>
      </c>
      <c r="U24" s="138" t="s">
        <v>9</v>
      </c>
      <c r="V24" s="139" t="str">
        <f t="shared" si="4"/>
        <v>40%</v>
      </c>
      <c r="W24" s="138" t="s">
        <v>19</v>
      </c>
      <c r="X24" s="138" t="s">
        <v>22</v>
      </c>
      <c r="Y24" s="138" t="s">
        <v>118</v>
      </c>
      <c r="Z24" s="158">
        <f>IFERROR(IF(S24="Probabilidad",(K24-(+K24*V24)),IF(S24="Impacto",K24,"")),"")</f>
        <v>0.48</v>
      </c>
      <c r="AA24" s="140" t="str">
        <f t="shared" si="5"/>
        <v>Media</v>
      </c>
      <c r="AB24" s="139">
        <f t="shared" si="10"/>
        <v>0.48</v>
      </c>
      <c r="AC24" s="140" t="str">
        <f t="shared" si="6"/>
        <v>Mayor</v>
      </c>
      <c r="AD24" s="139">
        <f t="shared" si="9"/>
        <v>0.8</v>
      </c>
      <c r="AE24" s="159" t="str">
        <f t="shared" si="7"/>
        <v>Alto</v>
      </c>
      <c r="AF24" s="138" t="s">
        <v>134</v>
      </c>
      <c r="AG24" s="125" t="s">
        <v>431</v>
      </c>
      <c r="AH24" s="125" t="s">
        <v>332</v>
      </c>
      <c r="AI24" s="129">
        <v>45688</v>
      </c>
      <c r="AJ24" s="129">
        <v>46022</v>
      </c>
      <c r="AK24" s="182" t="s">
        <v>552</v>
      </c>
      <c r="AL24" s="126" t="s">
        <v>414</v>
      </c>
      <c r="AO24" s="171"/>
    </row>
    <row r="25" spans="1:41" s="20" customFormat="1" ht="264" x14ac:dyDescent="0.25">
      <c r="A25" s="152" t="s">
        <v>222</v>
      </c>
      <c r="B25" s="189" t="s">
        <v>222</v>
      </c>
      <c r="C25" s="189">
        <v>16</v>
      </c>
      <c r="D25" s="125" t="s">
        <v>132</v>
      </c>
      <c r="E25" s="130" t="s">
        <v>280</v>
      </c>
      <c r="F25" s="130" t="s">
        <v>281</v>
      </c>
      <c r="G25" s="131" t="s">
        <v>468</v>
      </c>
      <c r="H25" s="125" t="s">
        <v>122</v>
      </c>
      <c r="I25" s="126">
        <v>8000</v>
      </c>
      <c r="J25" s="133" t="str">
        <f t="shared" si="11"/>
        <v>Muy Alta</v>
      </c>
      <c r="K25" s="134">
        <f t="shared" si="0"/>
        <v>1</v>
      </c>
      <c r="L25" s="135" t="s">
        <v>149</v>
      </c>
      <c r="M25" s="134" t="str">
        <f>IF(NOT(ISERROR(MATCH(L25,_xlfn.ANCHORARRAY(G34),0))),#REF!&amp;"Por favor no seleccionar los criterios de impacto",L25)</f>
        <v xml:space="preserve">     Mayor a 500 SMLMV </v>
      </c>
      <c r="N25" s="133" t="str">
        <f>IF(OR(M25='Tabla Impacto'!$C$11,M25='Tabla Impacto'!$D$11),"Leve",IF(OR(M25='Tabla Impacto'!$C$12,M25='Tabla Impacto'!$D$12),"Menor",IF(OR(M25='Tabla Impacto'!$C$13,M25='Tabla Impacto'!$D$13),"Moderado",IF(OR(M25='Tabla Impacto'!$C$14,M25='Tabla Impacto'!$D$14),"Mayor",IF(OR(M25='Tabla Impacto'!$C$15,M25='Tabla Impacto'!$D$15),"Catastrófico","")))))</f>
        <v>Catastrófico</v>
      </c>
      <c r="O25" s="134">
        <f t="shared" si="1"/>
        <v>1</v>
      </c>
      <c r="P25" s="136" t="str">
        <f t="shared" si="2"/>
        <v>Extremo</v>
      </c>
      <c r="Q25" s="152">
        <v>1</v>
      </c>
      <c r="R25" s="166" t="s">
        <v>354</v>
      </c>
      <c r="S25" s="137" t="str">
        <f t="shared" si="3"/>
        <v>Probabilidad</v>
      </c>
      <c r="T25" s="138" t="s">
        <v>14</v>
      </c>
      <c r="U25" s="138" t="s">
        <v>9</v>
      </c>
      <c r="V25" s="139" t="str">
        <f t="shared" si="4"/>
        <v>40%</v>
      </c>
      <c r="W25" s="138" t="s">
        <v>19</v>
      </c>
      <c r="X25" s="138" t="s">
        <v>22</v>
      </c>
      <c r="Y25" s="138" t="s">
        <v>118</v>
      </c>
      <c r="Z25" s="158">
        <f>IFERROR(IF(AND(S24="Probabilidad",S25="Probabilidad"),(AB24-(+AB24*V25)),IF(AND(S24="Impacto",S25="Probabilidad"),(#REF!-(+#REF!*V25)),IF(S25="Impacto",AB24,""))),"")</f>
        <v>0.28799999999999998</v>
      </c>
      <c r="AA25" s="140" t="str">
        <f t="shared" si="5"/>
        <v>Baja</v>
      </c>
      <c r="AB25" s="139">
        <f t="shared" si="10"/>
        <v>0.28799999999999998</v>
      </c>
      <c r="AC25" s="140" t="str">
        <f t="shared" si="6"/>
        <v>Catastrófico</v>
      </c>
      <c r="AD25" s="139">
        <f t="shared" si="9"/>
        <v>1</v>
      </c>
      <c r="AE25" s="159" t="str">
        <f t="shared" si="7"/>
        <v>Extremo</v>
      </c>
      <c r="AF25" s="138" t="s">
        <v>134</v>
      </c>
      <c r="AG25" s="125" t="s">
        <v>362</v>
      </c>
      <c r="AH25" s="125" t="s">
        <v>282</v>
      </c>
      <c r="AI25" s="129">
        <v>45688</v>
      </c>
      <c r="AJ25" s="129">
        <v>46022</v>
      </c>
      <c r="AK25" s="182" t="s">
        <v>546</v>
      </c>
      <c r="AL25" s="126" t="s">
        <v>414</v>
      </c>
    </row>
    <row r="26" spans="1:41" s="20" customFormat="1" ht="148.5" x14ac:dyDescent="0.25">
      <c r="A26" s="152" t="s">
        <v>223</v>
      </c>
      <c r="B26" s="190" t="s">
        <v>224</v>
      </c>
      <c r="C26" s="189">
        <v>17</v>
      </c>
      <c r="D26" s="125" t="s">
        <v>130</v>
      </c>
      <c r="E26" s="130" t="s">
        <v>237</v>
      </c>
      <c r="F26" s="130" t="s">
        <v>240</v>
      </c>
      <c r="G26" s="131" t="s">
        <v>236</v>
      </c>
      <c r="H26" s="125" t="s">
        <v>122</v>
      </c>
      <c r="I26" s="126">
        <v>52</v>
      </c>
      <c r="J26" s="133" t="str">
        <f t="shared" si="11"/>
        <v>Media</v>
      </c>
      <c r="K26" s="134">
        <f t="shared" si="0"/>
        <v>0.6</v>
      </c>
      <c r="L26" s="135" t="s">
        <v>146</v>
      </c>
      <c r="M26" s="134" t="str">
        <f>IF(NOT(ISERROR(MATCH(L26,_xlfn.ANCHORARRAY(#REF!),0))),K40&amp;"Por favor no seleccionar los criterios de impacto",L26)</f>
        <v xml:space="preserve">     Entre 50 y 100 SMLMV </v>
      </c>
      <c r="N26" s="133" t="str">
        <f>IF(OR(M26='Tabla Impacto'!$C$11,M26='Tabla Impacto'!$D$11),"Leve",IF(OR(M26='Tabla Impacto'!$C$12,M26='Tabla Impacto'!$D$12),"Menor",IF(OR(M26='Tabla Impacto'!$C$13,M26='Tabla Impacto'!$D$13),"Moderado",IF(OR(M26='Tabla Impacto'!$C$14,M26='Tabla Impacto'!$D$14),"Mayor",IF(OR(M26='Tabla Impacto'!$C$15,M26='Tabla Impacto'!$D$15),"Catastrófico","")))))</f>
        <v>Moderado</v>
      </c>
      <c r="O26" s="134">
        <f t="shared" si="1"/>
        <v>0.6</v>
      </c>
      <c r="P26" s="136" t="str">
        <f t="shared" si="2"/>
        <v>Moderado</v>
      </c>
      <c r="Q26" s="152">
        <v>2</v>
      </c>
      <c r="R26" s="125" t="s">
        <v>238</v>
      </c>
      <c r="S26" s="137" t="str">
        <f t="shared" si="3"/>
        <v>Probabilidad</v>
      </c>
      <c r="T26" s="138" t="s">
        <v>14</v>
      </c>
      <c r="U26" s="138" t="s">
        <v>9</v>
      </c>
      <c r="V26" s="139" t="str">
        <f t="shared" si="4"/>
        <v>40%</v>
      </c>
      <c r="W26" s="138" t="s">
        <v>19</v>
      </c>
      <c r="X26" s="138" t="s">
        <v>22</v>
      </c>
      <c r="Y26" s="138" t="s">
        <v>118</v>
      </c>
      <c r="Z26" s="158">
        <f>IFERROR(IF(AND(S25="Probabilidad",S26="Probabilidad"),(AB25-(+AB25*V26)),IF(AND(S25="Impacto",S26="Probabilidad"),(#REF!-(+#REF!*V26)),IF(S26="Impacto",AB25,""))),"")</f>
        <v>0.17279999999999998</v>
      </c>
      <c r="AA26" s="140" t="str">
        <f>IFERROR(IF(Z26="","",IF(Z26&lt;=0.2,"Muy Baja",IF(Z26&lt;=0.4,"Baja",IF(Z26&lt;=0.6,"Media",IF(Z26&lt;=0.8,"Alta","Muy Alta"))))),"")</f>
        <v>Muy Baja</v>
      </c>
      <c r="AB26" s="139">
        <v>0.4</v>
      </c>
      <c r="AC26" s="140" t="str">
        <f t="shared" si="6"/>
        <v>Moderado</v>
      </c>
      <c r="AD26" s="139">
        <f t="shared" si="9"/>
        <v>0.6</v>
      </c>
      <c r="AE26" s="159" t="str">
        <f t="shared" si="7"/>
        <v>Moderado</v>
      </c>
      <c r="AF26" s="138" t="s">
        <v>134</v>
      </c>
      <c r="AG26" s="125" t="s">
        <v>533</v>
      </c>
      <c r="AH26" s="125" t="s">
        <v>239</v>
      </c>
      <c r="AI26" s="129">
        <v>45688</v>
      </c>
      <c r="AJ26" s="129">
        <v>46022</v>
      </c>
      <c r="AK26" s="182" t="s">
        <v>589</v>
      </c>
      <c r="AL26" s="126" t="s">
        <v>414</v>
      </c>
    </row>
    <row r="27" spans="1:41" s="20" customFormat="1" ht="198" x14ac:dyDescent="0.25">
      <c r="A27" s="260" t="s">
        <v>225</v>
      </c>
      <c r="B27" s="189" t="s">
        <v>214</v>
      </c>
      <c r="C27" s="189">
        <v>18</v>
      </c>
      <c r="D27" s="141" t="s">
        <v>132</v>
      </c>
      <c r="E27" s="130" t="s">
        <v>265</v>
      </c>
      <c r="F27" s="130" t="s">
        <v>266</v>
      </c>
      <c r="G27" s="131" t="s">
        <v>267</v>
      </c>
      <c r="H27" s="125" t="s">
        <v>125</v>
      </c>
      <c r="I27" s="126">
        <v>365</v>
      </c>
      <c r="J27" s="133" t="str">
        <f t="shared" si="11"/>
        <v>Media</v>
      </c>
      <c r="K27" s="134">
        <f t="shared" si="0"/>
        <v>0.6</v>
      </c>
      <c r="L27" s="135" t="s">
        <v>153</v>
      </c>
      <c r="M27" s="134" t="str">
        <f>IF(NOT(ISERROR(MATCH(L27,_xlfn.ANCHORARRAY(G39),0))),#REF!&amp;"Por favor no seleccionar los criterios de impacto",L27)</f>
        <v xml:space="preserve">     El riesgo afecta la imagen de de la entidad con efecto publicitario sostenido a nivel de sector administrativo, nivel departamental o municipal</v>
      </c>
      <c r="N27" s="133" t="str">
        <f>IF(OR(M27='Tabla Impacto'!$C$11,M27='Tabla Impacto'!$D$11),"Leve",IF(OR(M27='Tabla Impacto'!$C$12,M27='Tabla Impacto'!$D$12),"Menor",IF(OR(M27='Tabla Impacto'!$C$13,M27='Tabla Impacto'!$D$13),"Moderado",IF(OR(M27='Tabla Impacto'!$C$14,M27='Tabla Impacto'!$D$14),"Mayor",IF(OR(M27='Tabla Impacto'!$C$15,M27='Tabla Impacto'!$D$15),"Catastrófico","")))))</f>
        <v>Mayor</v>
      </c>
      <c r="O27" s="134">
        <f t="shared" si="1"/>
        <v>0.8</v>
      </c>
      <c r="P27" s="136" t="str">
        <f t="shared" si="2"/>
        <v>Alto</v>
      </c>
      <c r="Q27" s="152">
        <v>2</v>
      </c>
      <c r="R27" s="175" t="s">
        <v>273</v>
      </c>
      <c r="S27" s="137" t="str">
        <f t="shared" si="3"/>
        <v>Probabilidad</v>
      </c>
      <c r="T27" s="138" t="s">
        <v>14</v>
      </c>
      <c r="U27" s="138" t="s">
        <v>10</v>
      </c>
      <c r="V27" s="139" t="str">
        <f t="shared" si="4"/>
        <v>50%</v>
      </c>
      <c r="W27" s="138" t="s">
        <v>19</v>
      </c>
      <c r="X27" s="138" t="s">
        <v>22</v>
      </c>
      <c r="Y27" s="138" t="s">
        <v>118</v>
      </c>
      <c r="Z27" s="158">
        <f>IFERROR(IF(AND(S26="Probabilidad",S27="Probabilidad"),(AB26-(+AB26*V27)),IF(AND(S26="Impacto",S27="Probabilidad"),(#REF!-(+#REF!*V27)),IF(S27="Impacto",AB26,""))),"")</f>
        <v>0.2</v>
      </c>
      <c r="AA27" s="140" t="str">
        <f t="shared" si="5"/>
        <v>Muy Baja</v>
      </c>
      <c r="AB27" s="139">
        <f t="shared" si="10"/>
        <v>0.2</v>
      </c>
      <c r="AC27" s="140" t="str">
        <f t="shared" si="6"/>
        <v>Mayor</v>
      </c>
      <c r="AD27" s="139">
        <f t="shared" si="9"/>
        <v>0.8</v>
      </c>
      <c r="AE27" s="159" t="str">
        <f t="shared" si="7"/>
        <v>Alto</v>
      </c>
      <c r="AF27" s="138" t="s">
        <v>134</v>
      </c>
      <c r="AG27" s="176" t="s">
        <v>357</v>
      </c>
      <c r="AH27" s="125" t="s">
        <v>276</v>
      </c>
      <c r="AI27" s="129">
        <v>45688</v>
      </c>
      <c r="AJ27" s="129">
        <v>46022</v>
      </c>
      <c r="AK27" s="182" t="s">
        <v>564</v>
      </c>
      <c r="AL27" s="126" t="s">
        <v>414</v>
      </c>
    </row>
    <row r="28" spans="1:41" s="20" customFormat="1" ht="198" x14ac:dyDescent="0.25">
      <c r="A28" s="261"/>
      <c r="B28" s="189" t="s">
        <v>214</v>
      </c>
      <c r="C28" s="189">
        <v>19</v>
      </c>
      <c r="D28" s="125" t="s">
        <v>132</v>
      </c>
      <c r="E28" s="130" t="s">
        <v>268</v>
      </c>
      <c r="F28" s="130" t="s">
        <v>269</v>
      </c>
      <c r="G28" s="131" t="s">
        <v>270</v>
      </c>
      <c r="H28" s="125" t="s">
        <v>127</v>
      </c>
      <c r="I28" s="126">
        <v>365</v>
      </c>
      <c r="J28" s="133" t="str">
        <f t="shared" si="11"/>
        <v>Media</v>
      </c>
      <c r="K28" s="134">
        <f t="shared" si="0"/>
        <v>0.6</v>
      </c>
      <c r="L28" s="135" t="s">
        <v>152</v>
      </c>
      <c r="M28" s="134" t="str">
        <f>IF(NOT(ISERROR(MATCH(L28,_xlfn.ANCHORARRAY(G40),0))),#REF!&amp;"Por favor no seleccionar los criterios de impacto",L28)</f>
        <v xml:space="preserve">     El riesgo afecta la imagen de la entidad con algunos usuarios de relevancia frente al logro de los objetivos</v>
      </c>
      <c r="N28" s="133" t="str">
        <f>IF(OR(M28='Tabla Impacto'!$C$11,M28='Tabla Impacto'!$D$11),"Leve",IF(OR(M28='Tabla Impacto'!$C$12,M28='Tabla Impacto'!$D$12),"Menor",IF(OR(M28='Tabla Impacto'!$C$13,M28='Tabla Impacto'!$D$13),"Moderado",IF(OR(M28='Tabla Impacto'!$C$14,M28='Tabla Impacto'!$D$14),"Mayor",IF(OR(M28='Tabla Impacto'!$C$15,M28='Tabla Impacto'!$D$15),"Catastrófico","")))))</f>
        <v>Moderado</v>
      </c>
      <c r="O28" s="134">
        <f t="shared" si="1"/>
        <v>0.6</v>
      </c>
      <c r="P28" s="136" t="str">
        <f t="shared" si="2"/>
        <v>Moderado</v>
      </c>
      <c r="Q28" s="152">
        <v>3</v>
      </c>
      <c r="R28" s="142" t="s">
        <v>356</v>
      </c>
      <c r="S28" s="137" t="str">
        <f t="shared" si="3"/>
        <v>Probabilidad</v>
      </c>
      <c r="T28" s="138" t="s">
        <v>14</v>
      </c>
      <c r="U28" s="138" t="s">
        <v>9</v>
      </c>
      <c r="V28" s="139" t="str">
        <f t="shared" si="4"/>
        <v>40%</v>
      </c>
      <c r="W28" s="138" t="s">
        <v>19</v>
      </c>
      <c r="X28" s="138" t="s">
        <v>22</v>
      </c>
      <c r="Y28" s="138" t="s">
        <v>118</v>
      </c>
      <c r="Z28" s="158">
        <f>IFERROR(IF(AND(S27="Probabilidad",S28="Probabilidad"),(AB27-(+AB27*V28)),IF(AND(S27="Impacto",S28="Probabilidad"),(AB26-(+AB26*V28)),IF(S28="Impacto",AB27,""))),"")</f>
        <v>0.12</v>
      </c>
      <c r="AA28" s="140" t="str">
        <f t="shared" si="5"/>
        <v>Muy Baja</v>
      </c>
      <c r="AB28" s="139">
        <f t="shared" si="10"/>
        <v>0.12</v>
      </c>
      <c r="AC28" s="140" t="str">
        <f t="shared" si="6"/>
        <v>Moderado</v>
      </c>
      <c r="AD28" s="139">
        <f t="shared" si="9"/>
        <v>0.6</v>
      </c>
      <c r="AE28" s="159" t="str">
        <f t="shared" si="7"/>
        <v>Moderado</v>
      </c>
      <c r="AF28" s="138" t="s">
        <v>134</v>
      </c>
      <c r="AG28" s="125" t="s">
        <v>358</v>
      </c>
      <c r="AH28" s="126" t="s">
        <v>276</v>
      </c>
      <c r="AI28" s="129">
        <v>45688</v>
      </c>
      <c r="AJ28" s="129">
        <v>46022</v>
      </c>
      <c r="AK28" s="182" t="s">
        <v>565</v>
      </c>
      <c r="AL28" s="126" t="s">
        <v>414</v>
      </c>
    </row>
    <row r="29" spans="1:41" s="20" customFormat="1" ht="115.5" x14ac:dyDescent="0.25">
      <c r="A29" s="261"/>
      <c r="B29" s="189" t="s">
        <v>214</v>
      </c>
      <c r="C29" s="189">
        <v>20</v>
      </c>
      <c r="D29" s="125" t="s">
        <v>130</v>
      </c>
      <c r="E29" s="143" t="s">
        <v>514</v>
      </c>
      <c r="F29" s="143" t="s">
        <v>271</v>
      </c>
      <c r="G29" s="144" t="s">
        <v>272</v>
      </c>
      <c r="H29" s="125" t="s">
        <v>122</v>
      </c>
      <c r="I29" s="126">
        <v>365</v>
      </c>
      <c r="J29" s="133" t="str">
        <f t="shared" si="11"/>
        <v>Media</v>
      </c>
      <c r="K29" s="134">
        <f t="shared" si="0"/>
        <v>0.6</v>
      </c>
      <c r="L29" s="135" t="s">
        <v>152</v>
      </c>
      <c r="M29" s="134" t="str">
        <f>IF(NOT(ISERROR(MATCH(L29,_xlfn.ANCHORARRAY(#REF!),0))),#REF!&amp;"Por favor no seleccionar los criterios de impacto",L29)</f>
        <v xml:space="preserve">     El riesgo afecta la imagen de la entidad con algunos usuarios de relevancia frente al logro de los objetivos</v>
      </c>
      <c r="N29" s="133" t="str">
        <f>IF(OR(M29='Tabla Impacto'!$C$11,M29='Tabla Impacto'!$D$11),"Leve",IF(OR(M29='Tabla Impacto'!$C$12,M29='Tabla Impacto'!$D$12),"Menor",IF(OR(M29='Tabla Impacto'!$C$13,M29='Tabla Impacto'!$D$13),"Moderado",IF(OR(M29='Tabla Impacto'!$C$14,M29='Tabla Impacto'!$D$14),"Mayor",IF(OR(M29='Tabla Impacto'!$C$15,M29='Tabla Impacto'!$D$15),"Catastrófico","")))))</f>
        <v>Moderado</v>
      </c>
      <c r="O29" s="134">
        <f t="shared" si="1"/>
        <v>0.6</v>
      </c>
      <c r="P29" s="136" t="str">
        <f t="shared" si="2"/>
        <v>Moderado</v>
      </c>
      <c r="Q29" s="152">
        <v>1</v>
      </c>
      <c r="R29" s="142" t="s">
        <v>274</v>
      </c>
      <c r="S29" s="137" t="str">
        <f t="shared" si="3"/>
        <v>Probabilidad</v>
      </c>
      <c r="T29" s="138" t="s">
        <v>14</v>
      </c>
      <c r="U29" s="138" t="s">
        <v>9</v>
      </c>
      <c r="V29" s="139" t="str">
        <f t="shared" si="4"/>
        <v>40%</v>
      </c>
      <c r="W29" s="138" t="s">
        <v>19</v>
      </c>
      <c r="X29" s="138" t="s">
        <v>22</v>
      </c>
      <c r="Y29" s="138" t="s">
        <v>118</v>
      </c>
      <c r="Z29" s="158">
        <f>IFERROR(IF(AND(S28="Probabilidad",S29="Probabilidad"),(AB28-(+AB28*V29)),IF(AND(S28="Impacto",S29="Probabilidad"),(AB27-(+AB27*V29)),IF(S29="Impacto",AB28,""))),"")</f>
        <v>7.1999999999999995E-2</v>
      </c>
      <c r="AA29" s="140" t="str">
        <f t="shared" si="5"/>
        <v>Muy Baja</v>
      </c>
      <c r="AB29" s="139">
        <f t="shared" si="10"/>
        <v>7.1999999999999995E-2</v>
      </c>
      <c r="AC29" s="140" t="str">
        <f t="shared" si="6"/>
        <v>Moderado</v>
      </c>
      <c r="AD29" s="139">
        <f t="shared" si="9"/>
        <v>0.6</v>
      </c>
      <c r="AE29" s="159" t="str">
        <f t="shared" si="7"/>
        <v>Moderado</v>
      </c>
      <c r="AF29" s="138" t="s">
        <v>134</v>
      </c>
      <c r="AG29" s="145" t="s">
        <v>277</v>
      </c>
      <c r="AH29" s="125" t="s">
        <v>276</v>
      </c>
      <c r="AI29" s="129">
        <v>45688</v>
      </c>
      <c r="AJ29" s="129">
        <v>46022</v>
      </c>
      <c r="AK29" s="182" t="s">
        <v>576</v>
      </c>
      <c r="AL29" s="126" t="s">
        <v>414</v>
      </c>
    </row>
    <row r="30" spans="1:41" s="20" customFormat="1" ht="148.5" x14ac:dyDescent="0.25">
      <c r="A30" s="261"/>
      <c r="B30" s="188" t="s">
        <v>214</v>
      </c>
      <c r="C30" s="188">
        <v>21</v>
      </c>
      <c r="D30" s="125" t="s">
        <v>130</v>
      </c>
      <c r="E30" s="130" t="s">
        <v>503</v>
      </c>
      <c r="F30" s="130" t="s">
        <v>504</v>
      </c>
      <c r="G30" s="131" t="s">
        <v>469</v>
      </c>
      <c r="H30" s="125" t="s">
        <v>122</v>
      </c>
      <c r="I30" s="126">
        <v>1100</v>
      </c>
      <c r="J30" s="133" t="str">
        <f t="shared" si="11"/>
        <v>Alta</v>
      </c>
      <c r="K30" s="134">
        <f t="shared" si="0"/>
        <v>0.8</v>
      </c>
      <c r="L30" s="135" t="s">
        <v>148</v>
      </c>
      <c r="M30" s="134" t="str">
        <f>IF(NOT(ISERROR(MATCH(L30,_xlfn.ANCHORARRAY(#REF!),0))),#REF!&amp;"Por favor no seleccionar los criterios de impacto",L30)</f>
        <v xml:space="preserve">     Entre 100 y 500 SMLMV </v>
      </c>
      <c r="N30" s="133" t="str">
        <f>IF(OR(M30='Tabla Impacto'!$C$11,M30='Tabla Impacto'!$D$11),"Leve",IF(OR(M30='Tabla Impacto'!$C$12,M30='Tabla Impacto'!$D$12),"Menor",IF(OR(M30='Tabla Impacto'!$C$13,M30='Tabla Impacto'!$D$13),"Moderado",IF(OR(M30='Tabla Impacto'!$C$14,M30='Tabla Impacto'!$D$14),"Mayor",IF(OR(M30='Tabla Impacto'!$C$15,M30='Tabla Impacto'!$D$15),"Catastrófico","")))))</f>
        <v>Mayor</v>
      </c>
      <c r="O30" s="134">
        <f t="shared" si="1"/>
        <v>0.8</v>
      </c>
      <c r="P30" s="136" t="str">
        <f t="shared" si="2"/>
        <v>Alto</v>
      </c>
      <c r="Q30" s="152">
        <v>2</v>
      </c>
      <c r="R30" s="166" t="s">
        <v>275</v>
      </c>
      <c r="S30" s="137" t="str">
        <f t="shared" si="3"/>
        <v>Probabilidad</v>
      </c>
      <c r="T30" s="138" t="s">
        <v>14</v>
      </c>
      <c r="U30" s="138" t="s">
        <v>9</v>
      </c>
      <c r="V30" s="139" t="str">
        <f t="shared" si="4"/>
        <v>40%</v>
      </c>
      <c r="W30" s="138" t="s">
        <v>19</v>
      </c>
      <c r="X30" s="138" t="s">
        <v>22</v>
      </c>
      <c r="Y30" s="138" t="s">
        <v>118</v>
      </c>
      <c r="Z30" s="158">
        <f>IFERROR(IF(AND(S29="Probabilidad",S30="Probabilidad"),(AB29-(+AB29*V30)),IF(AND(S29="Impacto",S30="Probabilidad"),(AB28-(+AB28*V30)),IF(S30="Impacto",AB29,""))),"")</f>
        <v>4.3199999999999995E-2</v>
      </c>
      <c r="AA30" s="140" t="str">
        <f t="shared" si="5"/>
        <v>Muy Baja</v>
      </c>
      <c r="AB30" s="139">
        <f t="shared" si="10"/>
        <v>4.3199999999999995E-2</v>
      </c>
      <c r="AC30" s="140" t="str">
        <f t="shared" si="6"/>
        <v>Mayor</v>
      </c>
      <c r="AD30" s="139">
        <f t="shared" si="9"/>
        <v>0.8</v>
      </c>
      <c r="AE30" s="159" t="str">
        <f t="shared" si="7"/>
        <v>Alto</v>
      </c>
      <c r="AF30" s="138" t="s">
        <v>134</v>
      </c>
      <c r="AG30" s="125" t="s">
        <v>528</v>
      </c>
      <c r="AH30" s="125" t="s">
        <v>276</v>
      </c>
      <c r="AI30" s="129">
        <v>45688</v>
      </c>
      <c r="AJ30" s="129">
        <v>46022</v>
      </c>
      <c r="AK30" s="182" t="s">
        <v>577</v>
      </c>
      <c r="AL30" s="126" t="s">
        <v>414</v>
      </c>
    </row>
    <row r="31" spans="1:41" s="20" customFormat="1" ht="313.5" x14ac:dyDescent="0.25">
      <c r="A31" s="261"/>
      <c r="B31" s="189" t="s">
        <v>344</v>
      </c>
      <c r="C31" s="189">
        <v>22</v>
      </c>
      <c r="D31" s="125" t="s">
        <v>132</v>
      </c>
      <c r="E31" s="130" t="s">
        <v>507</v>
      </c>
      <c r="F31" s="130" t="s">
        <v>506</v>
      </c>
      <c r="G31" s="131" t="s">
        <v>505</v>
      </c>
      <c r="H31" s="125" t="s">
        <v>122</v>
      </c>
      <c r="I31" s="126">
        <v>40000</v>
      </c>
      <c r="J31" s="133" t="str">
        <f t="shared" si="11"/>
        <v>Muy Alta</v>
      </c>
      <c r="K31" s="134">
        <f t="shared" si="0"/>
        <v>1</v>
      </c>
      <c r="L31" s="135" t="s">
        <v>149</v>
      </c>
      <c r="M31" s="134" t="str">
        <f>IF(NOT(ISERROR(MATCH(L31,_xlfn.ANCHORARRAY(#REF!),0))),#REF!&amp;"Por favor no seleccionar los criterios de impacto",L31)</f>
        <v xml:space="preserve">     Mayor a 500 SMLMV </v>
      </c>
      <c r="N31" s="133" t="str">
        <f>IF(OR(M31='Tabla Impacto'!$C$11,M31='Tabla Impacto'!$D$11),"Leve",IF(OR(M31='Tabla Impacto'!$C$12,M31='Tabla Impacto'!$D$12),"Menor",IF(OR(M31='Tabla Impacto'!$C$13,M31='Tabla Impacto'!$D$13),"Moderado",IF(OR(M31='Tabla Impacto'!$C$14,M31='Tabla Impacto'!$D$14),"Mayor",IF(OR(M31='Tabla Impacto'!$C$15,M31='Tabla Impacto'!$D$15),"Catastrófico","")))))</f>
        <v>Catastrófico</v>
      </c>
      <c r="O31" s="134">
        <f t="shared" si="1"/>
        <v>1</v>
      </c>
      <c r="P31" s="136" t="str">
        <f t="shared" si="2"/>
        <v>Extremo</v>
      </c>
      <c r="Q31" s="152">
        <v>1</v>
      </c>
      <c r="R31" s="177" t="s">
        <v>345</v>
      </c>
      <c r="S31" s="137" t="str">
        <f t="shared" si="3"/>
        <v>Probabilidad</v>
      </c>
      <c r="T31" s="138" t="s">
        <v>14</v>
      </c>
      <c r="U31" s="138" t="s">
        <v>9</v>
      </c>
      <c r="V31" s="139" t="str">
        <f t="shared" si="4"/>
        <v>40%</v>
      </c>
      <c r="W31" s="138" t="s">
        <v>19</v>
      </c>
      <c r="X31" s="138" t="s">
        <v>22</v>
      </c>
      <c r="Y31" s="138" t="s">
        <v>118</v>
      </c>
      <c r="Z31" s="158">
        <f>IFERROR(IF(AND(S30="Probabilidad",S31="Probabilidad"),(AB30-(+AB30*V31)),IF(AND(S30="Impacto",S31="Probabilidad"),(AB29-(+AB29*V31)),IF(S31="Impacto",AB30,""))),"")</f>
        <v>2.5919999999999995E-2</v>
      </c>
      <c r="AA31" s="140" t="str">
        <f>IFERROR(IF(Z31="","",IF(Z31&lt;=0.2,"Muy Baja",IF(Z31&lt;=0.4,"Baja",IF(Z31&lt;=0.6,"Media",IF(Z31&lt;=0.8,"Alta","Muy Alta"))))),"")</f>
        <v>Muy Baja</v>
      </c>
      <c r="AB31" s="139">
        <f>+Z31</f>
        <v>2.5919999999999995E-2</v>
      </c>
      <c r="AC31" s="140" t="str">
        <f>IFERROR(IF(AD31="","",IF(AD31&lt;=0.2,"Leve",IF(AD31&lt;=0.4,"Menor",IF(AD31&lt;=0.6,"Moderado",IF(AD31&lt;=0.8,"Mayor","Catastrófico"))))),"")</f>
        <v>Catastrófico</v>
      </c>
      <c r="AD31" s="139">
        <f>IFERROR(IF(S31="Impacto",(O31-(+O31*V31)),IF(S31="Probabilidad",O31,"")),"")</f>
        <v>1</v>
      </c>
      <c r="AE31" s="159" t="str">
        <f>IFERROR(IF(OR(AND(AA31="Muy Baja",AC31="Leve"),AND(AA31="Muy Baja",AC31="Menor"),AND(AA31="Baja",AC31="Leve")),"Bajo",IF(OR(AND(AA31="Muy baja",AC31="Moderado"),AND(AA31="Baja",AC31="Menor"),AND(AA31="Baja",AC31="Moderado"),AND(AA31="Media",AC31="Leve"),AND(AA31="Media",AC31="Menor"),AND(AA31="Media",AC31="Moderado"),AND(AA31="Alta",AC31="Leve"),AND(AA31="Alta",AC31="Menor")),"Moderado",IF(OR(AND(AA31="Muy Baja",AC31="Mayor"),AND(AA31="Baja",AC31="Mayor"),AND(AA31="Media",AC31="Mayor"),AND(AA31="Alta",AC31="Moderado"),AND(AA31="Alta",AC31="Mayor"),AND(AA31="Muy Alta",AC31="Leve"),AND(AA31="Muy Alta",AC31="Menor"),AND(AA31="Muy Alta",AC31="Moderado"),AND(AA31="Muy Alta",AC31="Mayor")),"Alto",IF(OR(AND(AA31="Muy Baja",AC31="Catastrófico"),AND(AA31="Baja",AC31="Catastrófico"),AND(AA31="Media",AC31="Catastrófico"),AND(AA31="Alta",AC31="Catastrófico"),AND(AA31="Muy Alta",AC31="Catastrófico")),"Extremo","")))),"")</f>
        <v>Extremo</v>
      </c>
      <c r="AF31" s="138" t="s">
        <v>134</v>
      </c>
      <c r="AG31" s="125" t="s">
        <v>346</v>
      </c>
      <c r="AH31" s="125" t="s">
        <v>347</v>
      </c>
      <c r="AI31" s="129">
        <v>45688</v>
      </c>
      <c r="AJ31" s="129">
        <v>46022</v>
      </c>
      <c r="AK31" s="193" t="s">
        <v>541</v>
      </c>
      <c r="AL31" s="126" t="s">
        <v>414</v>
      </c>
    </row>
    <row r="32" spans="1:41" s="20" customFormat="1" ht="113.25" customHeight="1" x14ac:dyDescent="0.25">
      <c r="A32" s="262"/>
      <c r="B32" s="189" t="s">
        <v>392</v>
      </c>
      <c r="C32" s="189">
        <v>23</v>
      </c>
      <c r="D32" s="125" t="s">
        <v>130</v>
      </c>
      <c r="E32" s="130" t="s">
        <v>509</v>
      </c>
      <c r="F32" s="130" t="s">
        <v>508</v>
      </c>
      <c r="G32" s="131" t="s">
        <v>470</v>
      </c>
      <c r="H32" s="125" t="s">
        <v>127</v>
      </c>
      <c r="I32" s="126">
        <v>450</v>
      </c>
      <c r="J32" s="133" t="str">
        <f t="shared" si="11"/>
        <v>Media</v>
      </c>
      <c r="K32" s="134">
        <f t="shared" si="0"/>
        <v>0.6</v>
      </c>
      <c r="L32" s="135" t="s">
        <v>152</v>
      </c>
      <c r="M32" s="277" t="str">
        <f>IF(NOT(ISERROR(MATCH(L32,'Tabla Impacto'!$B$221:$B$223,0))),'Tabla Impacto'!$F$223&amp;"Por favor no seleccionar los criterios de impacto(Afectación Económica o presupuestal y Pérdida Reputacional)",L32)</f>
        <v xml:space="preserve">     El riesgo afecta la imagen de la entidad con algunos usuarios de relevancia frente al logro de los objetivos</v>
      </c>
      <c r="N32" s="133" t="str">
        <f>IF(OR(M32='Tabla Impacto'!$C$11,M32='Tabla Impacto'!$D$11),"Leve",IF(OR(M32='Tabla Impacto'!$C$12,M32='Tabla Impacto'!$D$12),"Menor",IF(OR(M32='Tabla Impacto'!$C$13,M32='Tabla Impacto'!$D$13),"Moderado",IF(OR(M32='Tabla Impacto'!$C$14,M32='Tabla Impacto'!$D$14),"Mayor",IF(OR(M32='Tabla Impacto'!$C$15,M32='Tabla Impacto'!$D$15),"Catastrófico","")))))</f>
        <v>Moderado</v>
      </c>
      <c r="O32" s="134">
        <f t="shared" si="1"/>
        <v>0.6</v>
      </c>
      <c r="P32" s="136" t="str">
        <f t="shared" si="2"/>
        <v>Moderado</v>
      </c>
      <c r="Q32" s="152">
        <v>1</v>
      </c>
      <c r="R32" s="125" t="s">
        <v>369</v>
      </c>
      <c r="S32" s="137" t="str">
        <f t="shared" si="3"/>
        <v>Probabilidad</v>
      </c>
      <c r="T32" s="138" t="s">
        <v>14</v>
      </c>
      <c r="U32" s="138" t="s">
        <v>9</v>
      </c>
      <c r="V32" s="139" t="str">
        <f t="shared" si="4"/>
        <v>40%</v>
      </c>
      <c r="W32" s="138" t="s">
        <v>19</v>
      </c>
      <c r="X32" s="138" t="s">
        <v>22</v>
      </c>
      <c r="Y32" s="138" t="s">
        <v>118</v>
      </c>
      <c r="Z32" s="158">
        <f t="shared" ref="Z32:Z40" si="12">IFERROR(IF(S32="Probabilidad",(K32-(+K32*V32)),IF(S32="Impacto",K32,"")),"")</f>
        <v>0.36</v>
      </c>
      <c r="AA32" s="140" t="str">
        <f t="shared" si="5"/>
        <v>Baja</v>
      </c>
      <c r="AB32" s="139">
        <f t="shared" si="10"/>
        <v>0.36</v>
      </c>
      <c r="AC32" s="140" t="str">
        <f t="shared" si="6"/>
        <v>Moderado</v>
      </c>
      <c r="AD32" s="139">
        <f t="shared" si="9"/>
        <v>0.6</v>
      </c>
      <c r="AE32" s="159" t="str">
        <f t="shared" si="7"/>
        <v>Moderado</v>
      </c>
      <c r="AF32" s="138" t="s">
        <v>134</v>
      </c>
      <c r="AG32" s="125" t="s">
        <v>366</v>
      </c>
      <c r="AH32" s="126" t="s">
        <v>278</v>
      </c>
      <c r="AI32" s="129">
        <v>45688</v>
      </c>
      <c r="AJ32" s="129">
        <v>46022</v>
      </c>
      <c r="AK32" s="182" t="s">
        <v>572</v>
      </c>
      <c r="AL32" s="126" t="s">
        <v>414</v>
      </c>
    </row>
    <row r="33" spans="1:40" s="20" customFormat="1" ht="198" customHeight="1" x14ac:dyDescent="0.25">
      <c r="A33" s="296"/>
      <c r="B33" s="189" t="s">
        <v>226</v>
      </c>
      <c r="C33" s="189">
        <v>24</v>
      </c>
      <c r="D33" s="125" t="s">
        <v>132</v>
      </c>
      <c r="E33" s="155" t="s">
        <v>393</v>
      </c>
      <c r="F33" s="155" t="s">
        <v>394</v>
      </c>
      <c r="G33" s="178" t="s">
        <v>471</v>
      </c>
      <c r="H33" s="125" t="s">
        <v>122</v>
      </c>
      <c r="I33" s="126">
        <v>360</v>
      </c>
      <c r="J33" s="133" t="str">
        <f t="shared" si="11"/>
        <v>Media</v>
      </c>
      <c r="K33" s="134">
        <v>0.6</v>
      </c>
      <c r="L33" s="135" t="s">
        <v>395</v>
      </c>
      <c r="M33" s="277"/>
      <c r="N33" s="133" t="s">
        <v>80</v>
      </c>
      <c r="O33" s="134">
        <v>0.6</v>
      </c>
      <c r="P33" s="136" t="str">
        <f t="shared" si="2"/>
        <v>Moderado</v>
      </c>
      <c r="Q33" s="152">
        <v>1</v>
      </c>
      <c r="R33" s="125" t="s">
        <v>396</v>
      </c>
      <c r="S33" s="137" t="s">
        <v>4</v>
      </c>
      <c r="T33" s="138" t="s">
        <v>14</v>
      </c>
      <c r="U33" s="138" t="s">
        <v>9</v>
      </c>
      <c r="V33" s="139">
        <v>0.4</v>
      </c>
      <c r="W33" s="138" t="s">
        <v>19</v>
      </c>
      <c r="X33" s="138" t="s">
        <v>22</v>
      </c>
      <c r="Y33" s="138"/>
      <c r="Z33" s="158">
        <v>0.6</v>
      </c>
      <c r="AA33" s="140" t="str">
        <f t="shared" si="5"/>
        <v>Media</v>
      </c>
      <c r="AB33" s="139">
        <v>0.6</v>
      </c>
      <c r="AC33" s="140" t="s">
        <v>80</v>
      </c>
      <c r="AD33" s="139">
        <v>0.6</v>
      </c>
      <c r="AE33" s="159" t="s">
        <v>397</v>
      </c>
      <c r="AF33" s="160" t="s">
        <v>134</v>
      </c>
      <c r="AG33" s="161" t="s">
        <v>398</v>
      </c>
      <c r="AH33" s="179" t="s">
        <v>399</v>
      </c>
      <c r="AI33" s="129">
        <v>45688</v>
      </c>
      <c r="AJ33" s="129">
        <v>46022</v>
      </c>
      <c r="AK33" s="182" t="s">
        <v>554</v>
      </c>
      <c r="AL33" s="126" t="s">
        <v>414</v>
      </c>
    </row>
    <row r="34" spans="1:40" s="181" customFormat="1" ht="409.5" x14ac:dyDescent="0.25">
      <c r="A34" s="296"/>
      <c r="B34" s="189" t="s">
        <v>226</v>
      </c>
      <c r="C34" s="189">
        <v>25</v>
      </c>
      <c r="D34" s="125" t="s">
        <v>132</v>
      </c>
      <c r="E34" s="130" t="s">
        <v>283</v>
      </c>
      <c r="F34" s="130" t="s">
        <v>284</v>
      </c>
      <c r="G34" s="180" t="s">
        <v>472</v>
      </c>
      <c r="H34" s="125" t="s">
        <v>122</v>
      </c>
      <c r="I34" s="126">
        <v>180</v>
      </c>
      <c r="J34" s="133" t="str">
        <f t="shared" si="11"/>
        <v>Media</v>
      </c>
      <c r="K34" s="134">
        <f t="shared" si="0"/>
        <v>0.6</v>
      </c>
      <c r="L34" s="135" t="s">
        <v>146</v>
      </c>
      <c r="M34" s="277" t="str">
        <f>IF(NOT(ISERROR(MATCH(L34,_xlfn.ANCHORARRAY(G41),0))),#REF!&amp;"Por favor no seleccionar los criterios de impacto",L34)</f>
        <v xml:space="preserve">     Entre 50 y 100 SMLMV </v>
      </c>
      <c r="N34" s="200" t="str">
        <f>IF(OR(M34='Tabla Impacto'!$C$11,M34='Tabla Impacto'!$D$11),"Leve",IF(OR(M34='Tabla Impacto'!$C$12,M34='Tabla Impacto'!$D$12),"Menor",IF(OR(M34='Tabla Impacto'!$C$13,M34='Tabla Impacto'!$D$13),"Moderado",IF(OR(M34='Tabla Impacto'!$C$14,M34='Tabla Impacto'!$D$14),"Mayor",IF(OR(M34='Tabla Impacto'!$C$15,M34='Tabla Impacto'!$D$15),"Catastrófico","")))))</f>
        <v>Moderado</v>
      </c>
      <c r="O34" s="134">
        <f t="shared" si="1"/>
        <v>0.6</v>
      </c>
      <c r="P34" s="201" t="str">
        <f t="shared" si="2"/>
        <v>Moderado</v>
      </c>
      <c r="Q34" s="152">
        <v>1</v>
      </c>
      <c r="R34" s="125" t="s">
        <v>353</v>
      </c>
      <c r="S34" s="137" t="str">
        <f t="shared" si="3"/>
        <v>Probabilidad</v>
      </c>
      <c r="T34" s="138" t="s">
        <v>14</v>
      </c>
      <c r="U34" s="138" t="s">
        <v>9</v>
      </c>
      <c r="V34" s="139" t="str">
        <f t="shared" si="4"/>
        <v>40%</v>
      </c>
      <c r="W34" s="138" t="s">
        <v>19</v>
      </c>
      <c r="X34" s="138" t="s">
        <v>22</v>
      </c>
      <c r="Y34" s="138" t="s">
        <v>118</v>
      </c>
      <c r="Z34" s="158">
        <f t="shared" si="12"/>
        <v>0.36</v>
      </c>
      <c r="AA34" s="162" t="str">
        <f t="shared" si="5"/>
        <v>Baja</v>
      </c>
      <c r="AB34" s="139">
        <f t="shared" si="10"/>
        <v>0.36</v>
      </c>
      <c r="AC34" s="162" t="str">
        <f t="shared" si="6"/>
        <v>Moderado</v>
      </c>
      <c r="AD34" s="139">
        <f t="shared" si="9"/>
        <v>0.6</v>
      </c>
      <c r="AE34" s="163" t="str">
        <f t="shared" si="7"/>
        <v>Moderado</v>
      </c>
      <c r="AF34" s="138" t="s">
        <v>31</v>
      </c>
      <c r="AG34" s="156" t="s">
        <v>387</v>
      </c>
      <c r="AH34" s="126" t="s">
        <v>386</v>
      </c>
      <c r="AI34" s="129">
        <v>45688</v>
      </c>
      <c r="AJ34" s="129">
        <v>46022</v>
      </c>
      <c r="AK34" s="182" t="s">
        <v>553</v>
      </c>
      <c r="AL34" s="126" t="s">
        <v>414</v>
      </c>
      <c r="AM34" s="20"/>
      <c r="AN34" s="20"/>
    </row>
    <row r="35" spans="1:40" s="20" customFormat="1" ht="132" x14ac:dyDescent="0.25">
      <c r="A35" s="296"/>
      <c r="B35" s="189" t="s">
        <v>348</v>
      </c>
      <c r="C35" s="189">
        <v>26</v>
      </c>
      <c r="D35" s="125" t="s">
        <v>132</v>
      </c>
      <c r="E35" s="130" t="s">
        <v>502</v>
      </c>
      <c r="F35" s="130" t="s">
        <v>343</v>
      </c>
      <c r="G35" s="131" t="s">
        <v>501</v>
      </c>
      <c r="H35" s="125" t="s">
        <v>122</v>
      </c>
      <c r="I35" s="126">
        <v>180</v>
      </c>
      <c r="J35" s="133" t="str">
        <f t="shared" si="11"/>
        <v>Media</v>
      </c>
      <c r="K35" s="134">
        <f t="shared" si="0"/>
        <v>0.6</v>
      </c>
      <c r="L35" s="135" t="s">
        <v>152</v>
      </c>
      <c r="M35" s="134" t="str">
        <f>IF(NOT(ISERROR(MATCH(L35,_xlfn.ANCHORARRAY(G39),0))),K40&amp;"Por favor no seleccionar los criterios de impacto",L35)</f>
        <v xml:space="preserve">     El riesgo afecta la imagen de la entidad con algunos usuarios de relevancia frente al logro de los objetivos</v>
      </c>
      <c r="N35" s="133" t="str">
        <f>IF(OR(M35='Tabla Impacto'!$C$11,M35='Tabla Impacto'!$D$11),"Leve",IF(OR(M35='Tabla Impacto'!$C$12,M35='Tabla Impacto'!$D$12),"Menor",IF(OR(M35='Tabla Impacto'!$C$13,M35='Tabla Impacto'!$D$13),"Moderado",IF(OR(M35='Tabla Impacto'!$C$14,M35='Tabla Impacto'!$D$14),"Mayor",IF(OR(M35='Tabla Impacto'!$C$15,M35='Tabla Impacto'!$D$15),"Catastrófico","")))))</f>
        <v>Moderado</v>
      </c>
      <c r="O35" s="134">
        <f t="shared" si="1"/>
        <v>0.6</v>
      </c>
      <c r="P35" s="136" t="str">
        <f t="shared" si="2"/>
        <v>Moderado</v>
      </c>
      <c r="Q35" s="152">
        <v>2</v>
      </c>
      <c r="R35" s="125" t="s">
        <v>370</v>
      </c>
      <c r="S35" s="137" t="str">
        <f t="shared" si="3"/>
        <v>Probabilidad</v>
      </c>
      <c r="T35" s="138" t="s">
        <v>14</v>
      </c>
      <c r="U35" s="138" t="s">
        <v>9</v>
      </c>
      <c r="V35" s="139" t="str">
        <f t="shared" si="4"/>
        <v>40%</v>
      </c>
      <c r="W35" s="138" t="s">
        <v>20</v>
      </c>
      <c r="X35" s="138" t="s">
        <v>22</v>
      </c>
      <c r="Y35" s="138" t="s">
        <v>119</v>
      </c>
      <c r="Z35" s="158">
        <f t="shared" si="12"/>
        <v>0.36</v>
      </c>
      <c r="AA35" s="140" t="str">
        <f t="shared" si="5"/>
        <v>Baja</v>
      </c>
      <c r="AB35" s="139">
        <f t="shared" si="10"/>
        <v>0.36</v>
      </c>
      <c r="AC35" s="140" t="str">
        <f t="shared" si="6"/>
        <v>Moderado</v>
      </c>
      <c r="AD35" s="139">
        <f t="shared" si="9"/>
        <v>0.6</v>
      </c>
      <c r="AE35" s="159" t="str">
        <f t="shared" si="7"/>
        <v>Moderado</v>
      </c>
      <c r="AF35" s="138" t="s">
        <v>134</v>
      </c>
      <c r="AG35" s="125" t="s">
        <v>402</v>
      </c>
      <c r="AH35" s="126" t="s">
        <v>350</v>
      </c>
      <c r="AI35" s="129">
        <v>45688</v>
      </c>
      <c r="AJ35" s="129">
        <v>46022</v>
      </c>
      <c r="AK35" s="182" t="s">
        <v>555</v>
      </c>
      <c r="AL35" s="126" t="s">
        <v>414</v>
      </c>
    </row>
    <row r="36" spans="1:40" s="20" customFormat="1" ht="198" x14ac:dyDescent="0.25">
      <c r="A36" s="296"/>
      <c r="B36" s="189" t="s">
        <v>226</v>
      </c>
      <c r="C36" s="189">
        <v>27</v>
      </c>
      <c r="D36" s="125" t="s">
        <v>132</v>
      </c>
      <c r="E36" s="125" t="s">
        <v>333</v>
      </c>
      <c r="F36" s="125" t="s">
        <v>405</v>
      </c>
      <c r="G36" s="125" t="s">
        <v>473</v>
      </c>
      <c r="H36" s="125" t="s">
        <v>122</v>
      </c>
      <c r="I36" s="126">
        <v>360</v>
      </c>
      <c r="J36" s="133" t="str">
        <f t="shared" si="11"/>
        <v>Media</v>
      </c>
      <c r="K36" s="134">
        <f t="shared" si="0"/>
        <v>0.6</v>
      </c>
      <c r="L36" s="135" t="s">
        <v>149</v>
      </c>
      <c r="M36" s="134" t="str">
        <f>IF(NOT(ISERROR(MATCH(L36,_xlfn.ANCHORARRAY(G40),0))),#REF!&amp;"Por favor no seleccionar los criterios de impacto",L36)</f>
        <v xml:space="preserve">     Mayor a 500 SMLMV </v>
      </c>
      <c r="N36" s="133" t="s">
        <v>80</v>
      </c>
      <c r="O36" s="134">
        <f t="shared" si="1"/>
        <v>0.6</v>
      </c>
      <c r="P36" s="136" t="str">
        <f t="shared" si="2"/>
        <v>Moderado</v>
      </c>
      <c r="Q36" s="152">
        <v>2</v>
      </c>
      <c r="R36" s="125" t="s">
        <v>406</v>
      </c>
      <c r="S36" s="137" t="str">
        <f t="shared" si="3"/>
        <v>Impacto</v>
      </c>
      <c r="T36" s="138" t="s">
        <v>16</v>
      </c>
      <c r="U36" s="138" t="s">
        <v>9</v>
      </c>
      <c r="V36" s="139" t="str">
        <f t="shared" si="4"/>
        <v>25%</v>
      </c>
      <c r="W36" s="138" t="s">
        <v>20</v>
      </c>
      <c r="X36" s="138" t="s">
        <v>22</v>
      </c>
      <c r="Y36" s="138" t="s">
        <v>119</v>
      </c>
      <c r="Z36" s="158">
        <f t="shared" si="12"/>
        <v>0.6</v>
      </c>
      <c r="AA36" s="140" t="s">
        <v>407</v>
      </c>
      <c r="AB36" s="139">
        <f t="shared" si="10"/>
        <v>0.6</v>
      </c>
      <c r="AC36" s="140" t="str">
        <f t="shared" si="6"/>
        <v>Moderado</v>
      </c>
      <c r="AD36" s="139">
        <f t="shared" si="9"/>
        <v>0.44999999999999996</v>
      </c>
      <c r="AE36" s="159" t="str">
        <f t="shared" si="7"/>
        <v>Moderado</v>
      </c>
      <c r="AF36" s="138" t="s">
        <v>134</v>
      </c>
      <c r="AG36" s="125" t="s">
        <v>408</v>
      </c>
      <c r="AH36" s="125" t="s">
        <v>399</v>
      </c>
      <c r="AI36" s="129">
        <v>45688</v>
      </c>
      <c r="AJ36" s="129">
        <v>46022</v>
      </c>
      <c r="AK36" s="182" t="s">
        <v>557</v>
      </c>
      <c r="AL36" s="126" t="s">
        <v>414</v>
      </c>
    </row>
    <row r="37" spans="1:40" s="20" customFormat="1" ht="214.5" x14ac:dyDescent="0.25">
      <c r="A37" s="296"/>
      <c r="B37" s="189" t="s">
        <v>334</v>
      </c>
      <c r="C37" s="189">
        <v>28</v>
      </c>
      <c r="D37" s="125" t="s">
        <v>132</v>
      </c>
      <c r="E37" s="130" t="s">
        <v>335</v>
      </c>
      <c r="F37" s="130" t="s">
        <v>336</v>
      </c>
      <c r="G37" s="130" t="s">
        <v>460</v>
      </c>
      <c r="H37" s="125" t="s">
        <v>122</v>
      </c>
      <c r="I37" s="126">
        <v>360</v>
      </c>
      <c r="J37" s="133" t="str">
        <f>IF(I37&lt;=0,"",IF(I37&lt;=2,"Muy Baja",IF(I37&lt;=24,"Baja",IF(I37&lt;=500,"Media",IF(I37&lt;=5000,"Alta","Muy Alta")))))</f>
        <v>Media</v>
      </c>
      <c r="K37" s="134">
        <f>IF(J37="","",IF(J37="Muy Baja",0.2,IF(J37="Baja",0.4,IF(J37="Media",0.6,IF(J37="Alta",0.8,IF(J37="Muy Alta",1,))))))</f>
        <v>0.6</v>
      </c>
      <c r="L37" s="135" t="s">
        <v>147</v>
      </c>
      <c r="M37" s="134" t="str">
        <f>IF(NOT(ISERROR(MATCH(L37,_xlfn.ANCHORARRAY(G41),0))),K42&amp;"Por favor no seleccionar los criterios de impacto",L37)</f>
        <v xml:space="preserve">     Entre 10 y 50 SMLMV </v>
      </c>
      <c r="N37" s="133" t="str">
        <f>IF(OR(M37='Tabla Impacto'!$C$11,M37='Tabla Impacto'!$D$11),"Leve",IF(OR(M37='Tabla Impacto'!$C$12,M37='Tabla Impacto'!$D$12),"Menor",IF(OR(M37='Tabla Impacto'!$C$13,M37='Tabla Impacto'!$D$13),"Moderado",IF(OR(M37='Tabla Impacto'!$C$14,M37='Tabla Impacto'!$D$14),"Mayor",IF(OR(M37='Tabla Impacto'!$C$15,M37='Tabla Impacto'!$D$15),"Catastrófico","")))))</f>
        <v>Menor</v>
      </c>
      <c r="O37" s="134">
        <f>IF(N37="","",IF(N37="Leve",0.2,IF(N37="Menor",0.4,IF(N37="Moderado",0.6,IF(N37="Mayor",0.8,IF(N37="Catastrófico",1,))))))</f>
        <v>0.4</v>
      </c>
      <c r="P37" s="136" t="str">
        <f>IF(OR(AND(J37="Muy Baja",N37="Leve"),AND(J37="Muy Baja",N37="Menor"),AND(J37="Baja",N37="Leve")),"Bajo",IF(OR(AND(J37="Muy baja",N37="Moderado"),AND(J37="Baja",N37="Menor"),AND(J37="Baja",N37="Moderado"),AND(J37="Media",N37="Leve"),AND(J37="Media",N37="Menor"),AND(J37="Media",N37="Moderado"),AND(J37="Alta",N37="Leve"),AND(J37="Alta",N37="Menor")),"Moderado",IF(OR(AND(J37="Muy Baja",N37="Mayor"),AND(J37="Baja",N37="Mayor"),AND(J37="Media",N37="Mayor"),AND(J37="Alta",N37="Moderado"),AND(J37="Alta",N37="Mayor"),AND(J37="Muy Alta",N37="Leve"),AND(J37="Muy Alta",N37="Menor"),AND(J37="Muy Alta",N37="Moderado"),AND(J37="Muy Alta",N37="Mayor")),"Alto",IF(OR(AND(J37="Muy Baja",N37="Catastrófico"),AND(J37="Baja",N37="Catastrófico"),AND(J37="Media",N37="Catastrófico"),AND(J37="Alta",N37="Catastrófico"),AND(J37="Muy Alta",N37="Catastrófico")),"Extremo",""))))</f>
        <v>Moderado</v>
      </c>
      <c r="Q37" s="152">
        <v>1</v>
      </c>
      <c r="R37" s="125" t="s">
        <v>337</v>
      </c>
      <c r="S37" s="137" t="str">
        <f>IF(OR(T37="Preventivo",T37="Detectivo"),"Probabilidad",IF(T37="Correctivo","Impacto",""))</f>
        <v>Probabilidad</v>
      </c>
      <c r="T37" s="138" t="s">
        <v>14</v>
      </c>
      <c r="U37" s="138" t="s">
        <v>9</v>
      </c>
      <c r="V37" s="139" t="str">
        <f>IF(AND(T37="Preventivo",U37="Automático"),"50%",IF(AND(T37="Preventivo",U37="Manual"),"40%",IF(AND(T37="Detectivo",U37="Automático"),"40%",IF(AND(T37="Detectivo",U37="Manual"),"30%",IF(AND(T37="Correctivo",U37="Automático"),"35%",IF(AND(T37="Correctivo",U37="Manual"),"25%",""))))))</f>
        <v>40%</v>
      </c>
      <c r="W37" s="138" t="s">
        <v>20</v>
      </c>
      <c r="X37" s="138" t="s">
        <v>22</v>
      </c>
      <c r="Y37" s="138" t="s">
        <v>118</v>
      </c>
      <c r="Z37" s="158">
        <f>IFERROR(IF(S37="Probabilidad",(K37-(+K37*V37)),IF(S37="Impacto",K37,"")),"")</f>
        <v>0.36</v>
      </c>
      <c r="AA37" s="140" t="str">
        <f>IFERROR(IF(Z37="","",IF(Z37&lt;=0.2,"Muy Baja",IF(Z37&lt;=0.4,"Baja",IF(Z37&lt;=0.6,"Media",IF(Z37&lt;=0.8,"Alta","Muy Alta"))))),"")</f>
        <v>Baja</v>
      </c>
      <c r="AB37" s="139">
        <f>+Z37</f>
        <v>0.36</v>
      </c>
      <c r="AC37" s="140" t="str">
        <f>IFERROR(IF(AD37="","",IF(AD37&lt;=0.2,"Leve",IF(AD37&lt;=0.4,"Menor",IF(AD37&lt;=0.6,"Moderado",IF(AD37&lt;=0.8,"Mayor","Catastrófico"))))),"")</f>
        <v>Menor</v>
      </c>
      <c r="AD37" s="139">
        <f>IFERROR(IF(S37="Impacto",(O37-(+O37*V37)),IF(S37="Probabilidad",O37,"")),"")</f>
        <v>0.4</v>
      </c>
      <c r="AE37" s="159" t="str">
        <f>IFERROR(IF(OR(AND(AA37="Muy Baja",AC37="Leve"),AND(AA37="Muy Baja",AC37="Menor"),AND(AA37="Baja",AC37="Leve")),"Bajo",IF(OR(AND(AA37="Muy baja",AC37="Moderado"),AND(AA37="Baja",AC37="Menor"),AND(AA37="Baja",AC37="Moderado"),AND(AA37="Media",AC37="Leve"),AND(AA37="Media",AC37="Menor"),AND(AA37="Media",AC37="Moderado"),AND(AA37="Alta",AC37="Leve"),AND(AA37="Alta",AC37="Menor")),"Moderado",IF(OR(AND(AA37="Muy Baja",AC37="Mayor"),AND(AA37="Baja",AC37="Mayor"),AND(AA37="Media",AC37="Mayor"),AND(AA37="Alta",AC37="Moderado"),AND(AA37="Alta",AC37="Mayor"),AND(AA37="Muy Alta",AC37="Leve"),AND(AA37="Muy Alta",AC37="Menor"),AND(AA37="Muy Alta",AC37="Moderado"),AND(AA37="Muy Alta",AC37="Mayor")),"Alto",IF(OR(AND(AA37="Muy Baja",AC37="Catastrófico"),AND(AA37="Baja",AC37="Catastrófico"),AND(AA37="Media",AC37="Catastrófico"),AND(AA37="Alta",AC37="Catastrófico"),AND(AA37="Muy Alta",AC37="Catastrófico")),"Extremo","")))),"")</f>
        <v>Moderado</v>
      </c>
      <c r="AF37" s="138" t="s">
        <v>134</v>
      </c>
      <c r="AG37" s="125" t="s">
        <v>355</v>
      </c>
      <c r="AH37" s="125" t="s">
        <v>338</v>
      </c>
      <c r="AI37" s="129">
        <v>45688</v>
      </c>
      <c r="AJ37" s="129">
        <v>46022</v>
      </c>
      <c r="AK37" s="182" t="s">
        <v>556</v>
      </c>
      <c r="AL37" s="126" t="s">
        <v>414</v>
      </c>
    </row>
    <row r="38" spans="1:40" s="20" customFormat="1" ht="115.5" x14ac:dyDescent="0.25">
      <c r="A38" s="296"/>
      <c r="B38" s="189" t="s">
        <v>334</v>
      </c>
      <c r="C38" s="189">
        <v>29</v>
      </c>
      <c r="D38" s="125" t="s">
        <v>132</v>
      </c>
      <c r="E38" s="130" t="s">
        <v>339</v>
      </c>
      <c r="F38" s="130" t="s">
        <v>340</v>
      </c>
      <c r="G38" s="130" t="s">
        <v>461</v>
      </c>
      <c r="H38" s="125" t="s">
        <v>122</v>
      </c>
      <c r="I38" s="126">
        <v>360</v>
      </c>
      <c r="J38" s="133" t="str">
        <f>IF(I38&lt;=0,"",IF(I38&lt;=2,"Muy Baja",IF(I38&lt;=24,"Baja",IF(I38&lt;=500,"Media",IF(I38&lt;=5000,"Alta","Muy Alta")))))</f>
        <v>Media</v>
      </c>
      <c r="K38" s="134">
        <f>IF(J38="","",IF(J38="Muy Baja",0.2,IF(J38="Baja",0.4,IF(J38="Media",0.6,IF(J38="Alta",0.8,IF(J38="Muy Alta",1,))))))</f>
        <v>0.6</v>
      </c>
      <c r="L38" s="135" t="s">
        <v>147</v>
      </c>
      <c r="M38" s="134" t="str">
        <f>IF(NOT(ISERROR(MATCH(L38,_xlfn.ANCHORARRAY(G42),0))),K43&amp;"Por favor no seleccionar los criterios de impacto",L38)</f>
        <v xml:space="preserve">     Entre 10 y 50 SMLMV </v>
      </c>
      <c r="N38" s="133" t="str">
        <f>IF(OR(M38='Tabla Impacto'!$C$11,M38='Tabla Impacto'!$D$11),"Leve",IF(OR(M38='Tabla Impacto'!$C$12,M38='Tabla Impacto'!$D$12),"Menor",IF(OR(M38='Tabla Impacto'!$C$13,M38='Tabla Impacto'!$D$13),"Moderado",IF(OR(M38='Tabla Impacto'!$C$14,M38='Tabla Impacto'!$D$14),"Mayor",IF(OR(M38='Tabla Impacto'!$C$15,M38='Tabla Impacto'!$D$15),"Catastrófico","")))))</f>
        <v>Menor</v>
      </c>
      <c r="O38" s="134">
        <f>IF(N38="","",IF(N38="Leve",0.2,IF(N38="Menor",0.4,IF(N38="Moderado",0.6,IF(N38="Mayor",0.8,IF(N38="Catastrófico",1,))))))</f>
        <v>0.4</v>
      </c>
      <c r="P38" s="136" t="str">
        <f>IF(OR(AND(J38="Muy Baja",N38="Leve"),AND(J38="Muy Baja",N38="Menor"),AND(J38="Baja",N38="Leve")),"Bajo",IF(OR(AND(J38="Muy baja",N38="Moderado"),AND(J38="Baja",N38="Menor"),AND(J38="Baja",N38="Moderado"),AND(J38="Media",N38="Leve"),AND(J38="Media",N38="Menor"),AND(J38="Media",N38="Moderado"),AND(J38="Alta",N38="Leve"),AND(J38="Alta",N38="Menor")),"Moderado",IF(OR(AND(J38="Muy Baja",N38="Mayor"),AND(J38="Baja",N38="Mayor"),AND(J38="Media",N38="Mayor"),AND(J38="Alta",N38="Moderado"),AND(J38="Alta",N38="Mayor"),AND(J38="Muy Alta",N38="Leve"),AND(J38="Muy Alta",N38="Menor"),AND(J38="Muy Alta",N38="Moderado"),AND(J38="Muy Alta",N38="Mayor")),"Alto",IF(OR(AND(J38="Muy Baja",N38="Catastrófico"),AND(J38="Baja",N38="Catastrófico"),AND(J38="Media",N38="Catastrófico"),AND(J38="Alta",N38="Catastrófico"),AND(J38="Muy Alta",N38="Catastrófico")),"Extremo",""))))</f>
        <v>Moderado</v>
      </c>
      <c r="Q38" s="152">
        <v>1</v>
      </c>
      <c r="R38" s="125" t="s">
        <v>341</v>
      </c>
      <c r="S38" s="137" t="str">
        <f>IF(OR(T38="Preventivo",T38="Detectivo"),"Probabilidad",IF(T38="Correctivo","Impacto",""))</f>
        <v>Probabilidad</v>
      </c>
      <c r="T38" s="138" t="s">
        <v>14</v>
      </c>
      <c r="U38" s="138" t="s">
        <v>9</v>
      </c>
      <c r="V38" s="139" t="str">
        <f>IF(AND(T38="Preventivo",U38="Automático"),"50%",IF(AND(T38="Preventivo",U38="Manual"),"40%",IF(AND(T38="Detectivo",U38="Automático"),"40%",IF(AND(T38="Detectivo",U38="Manual"),"30%",IF(AND(T38="Correctivo",U38="Automático"),"35%",IF(AND(T38="Correctivo",U38="Manual"),"25%",""))))))</f>
        <v>40%</v>
      </c>
      <c r="W38" s="138" t="s">
        <v>20</v>
      </c>
      <c r="X38" s="138" t="s">
        <v>22</v>
      </c>
      <c r="Y38" s="138" t="s">
        <v>119</v>
      </c>
      <c r="Z38" s="158">
        <f>IFERROR(IF(S38="Probabilidad",(K38-(+K38*V38)),IF(S38="Impacto",K38,"")),"")</f>
        <v>0.36</v>
      </c>
      <c r="AA38" s="140" t="str">
        <f>IFERROR(IF(Z38="","",IF(Z38&lt;=0.2,"Muy Baja",IF(Z38&lt;=0.4,"Baja",IF(Z38&lt;=0.6,"Media",IF(Z38&lt;=0.8,"Alta","Muy Alta"))))),"")</f>
        <v>Baja</v>
      </c>
      <c r="AB38" s="139">
        <f>+Z38</f>
        <v>0.36</v>
      </c>
      <c r="AC38" s="140" t="str">
        <f>IFERROR(IF(AD38="","",IF(AD38&lt;=0.2,"Leve",IF(AD38&lt;=0.4,"Menor",IF(AD38&lt;=0.6,"Moderado",IF(AD38&lt;=0.8,"Mayor","Catastrófico"))))),"")</f>
        <v>Menor</v>
      </c>
      <c r="AD38" s="139">
        <f>IFERROR(IF(S38="Impacto",(O38-(+O38*V38)),IF(S38="Probabilidad",O38,"")),"")</f>
        <v>0.4</v>
      </c>
      <c r="AE38" s="159" t="str">
        <f>IFERROR(IF(OR(AND(AA38="Muy Baja",AC38="Leve"),AND(AA38="Muy Baja",AC38="Menor"),AND(AA38="Baja",AC38="Leve")),"Bajo",IF(OR(AND(AA38="Muy baja",AC38="Moderado"),AND(AA38="Baja",AC38="Menor"),AND(AA38="Baja",AC38="Moderado"),AND(AA38="Media",AC38="Leve"),AND(AA38="Media",AC38="Menor"),AND(AA38="Media",AC38="Moderado"),AND(AA38="Alta",AC38="Leve"),AND(AA38="Alta",AC38="Menor")),"Moderado",IF(OR(AND(AA38="Muy Baja",AC38="Mayor"),AND(AA38="Baja",AC38="Mayor"),AND(AA38="Media",AC38="Mayor"),AND(AA38="Alta",AC38="Moderado"),AND(AA38="Alta",AC38="Mayor"),AND(AA38="Muy Alta",AC38="Leve"),AND(AA38="Muy Alta",AC38="Menor"),AND(AA38="Muy Alta",AC38="Moderado"),AND(AA38="Muy Alta",AC38="Mayor")),"Alto",IF(OR(AND(AA38="Muy Baja",AC38="Catastrófico"),AND(AA38="Baja",AC38="Catastrófico"),AND(AA38="Media",AC38="Catastrófico"),AND(AA38="Alta",AC38="Catastrófico"),AND(AA38="Muy Alta",AC38="Catastrófico")),"Extremo","")))),"")</f>
        <v>Moderado</v>
      </c>
      <c r="AF38" s="138" t="s">
        <v>134</v>
      </c>
      <c r="AG38" s="125" t="s">
        <v>342</v>
      </c>
      <c r="AH38" s="125" t="s">
        <v>338</v>
      </c>
      <c r="AI38" s="129">
        <v>45688</v>
      </c>
      <c r="AJ38" s="129">
        <v>46022</v>
      </c>
      <c r="AK38" s="182" t="s">
        <v>578</v>
      </c>
      <c r="AL38" s="126" t="s">
        <v>414</v>
      </c>
    </row>
    <row r="39" spans="1:40" s="20" customFormat="1" ht="99" x14ac:dyDescent="0.25">
      <c r="A39" s="293" t="s">
        <v>227</v>
      </c>
      <c r="B39" s="189" t="s">
        <v>400</v>
      </c>
      <c r="C39" s="189">
        <v>30</v>
      </c>
      <c r="D39" s="125" t="s">
        <v>132</v>
      </c>
      <c r="E39" s="130" t="s">
        <v>292</v>
      </c>
      <c r="F39" s="182" t="s">
        <v>293</v>
      </c>
      <c r="G39" s="131" t="s">
        <v>474</v>
      </c>
      <c r="H39" s="125" t="s">
        <v>122</v>
      </c>
      <c r="I39" s="126">
        <v>40</v>
      </c>
      <c r="J39" s="133" t="str">
        <f t="shared" si="11"/>
        <v>Media</v>
      </c>
      <c r="K39" s="134">
        <f t="shared" si="0"/>
        <v>0.6</v>
      </c>
      <c r="L39" s="135" t="s">
        <v>146</v>
      </c>
      <c r="M39" s="134" t="str">
        <f>IF(NOT(ISERROR(MATCH(L39,_xlfn.ANCHORARRAY(G42),0))),K43&amp;"Por favor no seleccionar los criterios de impacto",L39)</f>
        <v xml:space="preserve">     Entre 50 y 100 SMLMV </v>
      </c>
      <c r="N39" s="133" t="str">
        <f>IF(OR(M39='Tabla Impacto'!$C$11,M39='Tabla Impacto'!$D$11),"Leve",IF(OR(M39='Tabla Impacto'!$C$12,M39='Tabla Impacto'!$D$12),"Menor",IF(OR(M39='Tabla Impacto'!$C$13,M39='Tabla Impacto'!$D$13),"Moderado",IF(OR(M39='Tabla Impacto'!$C$14,M39='Tabla Impacto'!$D$14),"Mayor",IF(OR(M39='Tabla Impacto'!$C$15,M39='Tabla Impacto'!$D$15),"Catastrófico","")))))</f>
        <v>Moderado</v>
      </c>
      <c r="O39" s="134">
        <f t="shared" si="1"/>
        <v>0.6</v>
      </c>
      <c r="P39" s="136" t="str">
        <f t="shared" si="2"/>
        <v>Moderado</v>
      </c>
      <c r="Q39" s="152">
        <v>1</v>
      </c>
      <c r="R39" s="125" t="s">
        <v>294</v>
      </c>
      <c r="S39" s="137" t="str">
        <f t="shared" si="3"/>
        <v>Probabilidad</v>
      </c>
      <c r="T39" s="138" t="s">
        <v>15</v>
      </c>
      <c r="U39" s="138" t="s">
        <v>9</v>
      </c>
      <c r="V39" s="139" t="str">
        <f t="shared" si="4"/>
        <v>30%</v>
      </c>
      <c r="W39" s="138" t="s">
        <v>19</v>
      </c>
      <c r="X39" s="138" t="s">
        <v>22</v>
      </c>
      <c r="Y39" s="138" t="s">
        <v>118</v>
      </c>
      <c r="Z39" s="158">
        <f t="shared" si="12"/>
        <v>0.42</v>
      </c>
      <c r="AA39" s="140" t="str">
        <f t="shared" si="5"/>
        <v>Media</v>
      </c>
      <c r="AB39" s="139">
        <f t="shared" si="10"/>
        <v>0.42</v>
      </c>
      <c r="AC39" s="140" t="str">
        <f t="shared" si="6"/>
        <v>Moderado</v>
      </c>
      <c r="AD39" s="139">
        <f t="shared" si="9"/>
        <v>0.6</v>
      </c>
      <c r="AE39" s="159" t="str">
        <f t="shared" si="7"/>
        <v>Moderado</v>
      </c>
      <c r="AF39" s="138" t="s">
        <v>134</v>
      </c>
      <c r="AG39" s="125" t="s">
        <v>361</v>
      </c>
      <c r="AH39" s="126" t="s">
        <v>413</v>
      </c>
      <c r="AI39" s="129">
        <v>45688</v>
      </c>
      <c r="AJ39" s="129">
        <v>46022</v>
      </c>
      <c r="AK39" s="182" t="s">
        <v>579</v>
      </c>
      <c r="AL39" s="126" t="s">
        <v>414</v>
      </c>
    </row>
    <row r="40" spans="1:40" s="20" customFormat="1" ht="99" x14ac:dyDescent="0.25">
      <c r="A40" s="294"/>
      <c r="B40" s="189" t="s">
        <v>400</v>
      </c>
      <c r="C40" s="189">
        <v>31</v>
      </c>
      <c r="D40" s="125" t="s">
        <v>132</v>
      </c>
      <c r="E40" s="130" t="s">
        <v>285</v>
      </c>
      <c r="F40" s="182" t="s">
        <v>286</v>
      </c>
      <c r="G40" s="131" t="s">
        <v>475</v>
      </c>
      <c r="H40" s="125" t="s">
        <v>122</v>
      </c>
      <c r="I40" s="126">
        <v>300</v>
      </c>
      <c r="J40" s="133" t="str">
        <f t="shared" si="11"/>
        <v>Media</v>
      </c>
      <c r="K40" s="134">
        <f t="shared" si="0"/>
        <v>0.6</v>
      </c>
      <c r="L40" s="135" t="s">
        <v>146</v>
      </c>
      <c r="M40" s="134" t="str">
        <f>IF(NOT(ISERROR(MATCH(L40,_xlfn.ANCHORARRAY(G43),0))),#REF!&amp;"Por favor no seleccionar los criterios de impacto",L40)</f>
        <v xml:space="preserve">     Entre 50 y 100 SMLMV </v>
      </c>
      <c r="N40" s="133" t="str">
        <f>IF(OR(M40='Tabla Impacto'!$C$11,M40='Tabla Impacto'!$D$11),"Leve",IF(OR(M40='Tabla Impacto'!$C$12,M40='Tabla Impacto'!$D$12),"Menor",IF(OR(M40='Tabla Impacto'!$C$13,M40='Tabla Impacto'!$D$13),"Moderado",IF(OR(M40='Tabla Impacto'!$C$14,M40='Tabla Impacto'!$D$14),"Mayor",IF(OR(M40='Tabla Impacto'!$C$15,M40='Tabla Impacto'!$D$15),"Catastrófico","")))))</f>
        <v>Moderado</v>
      </c>
      <c r="O40" s="134">
        <f t="shared" si="1"/>
        <v>0.6</v>
      </c>
      <c r="P40" s="136" t="str">
        <f t="shared" si="2"/>
        <v>Moderado</v>
      </c>
      <c r="Q40" s="152">
        <v>1</v>
      </c>
      <c r="R40" s="167" t="s">
        <v>367</v>
      </c>
      <c r="S40" s="137" t="str">
        <f t="shared" si="3"/>
        <v>Probabilidad</v>
      </c>
      <c r="T40" s="138" t="s">
        <v>14</v>
      </c>
      <c r="U40" s="138" t="s">
        <v>9</v>
      </c>
      <c r="V40" s="139" t="str">
        <f t="shared" si="4"/>
        <v>40%</v>
      </c>
      <c r="W40" s="138" t="s">
        <v>19</v>
      </c>
      <c r="X40" s="138" t="s">
        <v>22</v>
      </c>
      <c r="Y40" s="138" t="s">
        <v>118</v>
      </c>
      <c r="Z40" s="158">
        <f t="shared" si="12"/>
        <v>0.36</v>
      </c>
      <c r="AA40" s="140" t="str">
        <f t="shared" si="5"/>
        <v>Baja</v>
      </c>
      <c r="AB40" s="139">
        <f t="shared" si="10"/>
        <v>0.36</v>
      </c>
      <c r="AC40" s="140" t="str">
        <f t="shared" si="6"/>
        <v>Moderado</v>
      </c>
      <c r="AD40" s="139">
        <f t="shared" si="9"/>
        <v>0.6</v>
      </c>
      <c r="AE40" s="159" t="str">
        <f t="shared" si="7"/>
        <v>Moderado</v>
      </c>
      <c r="AF40" s="138" t="s">
        <v>134</v>
      </c>
      <c r="AG40" s="125" t="s">
        <v>368</v>
      </c>
      <c r="AH40" s="126" t="s">
        <v>413</v>
      </c>
      <c r="AI40" s="129">
        <v>45688</v>
      </c>
      <c r="AJ40" s="129">
        <v>46022</v>
      </c>
      <c r="AK40" s="182" t="s">
        <v>580</v>
      </c>
      <c r="AL40" s="126" t="s">
        <v>414</v>
      </c>
    </row>
    <row r="41" spans="1:40" s="20" customFormat="1" ht="115.5" x14ac:dyDescent="0.25">
      <c r="A41" s="294"/>
      <c r="B41" s="189" t="s">
        <v>401</v>
      </c>
      <c r="C41" s="189">
        <v>32</v>
      </c>
      <c r="D41" s="125" t="s">
        <v>132</v>
      </c>
      <c r="E41" s="130" t="s">
        <v>287</v>
      </c>
      <c r="F41" s="130" t="s">
        <v>288</v>
      </c>
      <c r="G41" s="131" t="s">
        <v>476</v>
      </c>
      <c r="H41" s="125" t="s">
        <v>122</v>
      </c>
      <c r="I41" s="126">
        <v>700</v>
      </c>
      <c r="J41" s="133" t="str">
        <f t="shared" si="11"/>
        <v>Alta</v>
      </c>
      <c r="K41" s="134">
        <f t="shared" si="0"/>
        <v>0.8</v>
      </c>
      <c r="L41" s="135" t="s">
        <v>148</v>
      </c>
      <c r="M41" s="134" t="str">
        <f>IF(NOT(ISERROR(MATCH(L41,_xlfn.ANCHORARRAY(#REF!),0))),#REF!&amp;"Por favor no seleccionar los criterios de impacto",L41)</f>
        <v xml:space="preserve">     Entre 100 y 500 SMLMV </v>
      </c>
      <c r="N41" s="133" t="str">
        <f>IF(OR(M41='Tabla Impacto'!$C$11,M41='Tabla Impacto'!$D$11),"Leve",IF(OR(M41='Tabla Impacto'!$C$12,M41='Tabla Impacto'!$D$12),"Menor",IF(OR(M41='Tabla Impacto'!$C$13,M41='Tabla Impacto'!$D$13),"Moderado",IF(OR(M41='Tabla Impacto'!$C$14,M41='Tabla Impacto'!$D$14),"Mayor",IF(OR(M41='Tabla Impacto'!$C$15,M41='Tabla Impacto'!$D$15),"Catastrófico","")))))</f>
        <v>Mayor</v>
      </c>
      <c r="O41" s="134">
        <f t="shared" si="1"/>
        <v>0.8</v>
      </c>
      <c r="P41" s="136" t="str">
        <f t="shared" si="2"/>
        <v>Alto</v>
      </c>
      <c r="Q41" s="152">
        <v>2</v>
      </c>
      <c r="R41" s="125" t="s">
        <v>295</v>
      </c>
      <c r="S41" s="137" t="str">
        <f t="shared" si="3"/>
        <v>Probabilidad</v>
      </c>
      <c r="T41" s="138" t="s">
        <v>14</v>
      </c>
      <c r="U41" s="138" t="s">
        <v>9</v>
      </c>
      <c r="V41" s="139" t="str">
        <f t="shared" si="4"/>
        <v>40%</v>
      </c>
      <c r="W41" s="138" t="s">
        <v>19</v>
      </c>
      <c r="X41" s="138" t="s">
        <v>22</v>
      </c>
      <c r="Y41" s="138" t="s">
        <v>118</v>
      </c>
      <c r="Z41" s="158">
        <f t="shared" ref="Z41:Z53" si="13">IFERROR(IF(S41="Probabilidad",(K41-(+K41*V41)),IF(S41="Impacto",K41,"")),"")</f>
        <v>0.48</v>
      </c>
      <c r="AA41" s="140" t="str">
        <f t="shared" si="5"/>
        <v>Media</v>
      </c>
      <c r="AB41" s="139">
        <f t="shared" si="10"/>
        <v>0.48</v>
      </c>
      <c r="AC41" s="140" t="str">
        <f t="shared" si="6"/>
        <v>Mayor</v>
      </c>
      <c r="AD41" s="139">
        <f t="shared" si="9"/>
        <v>0.8</v>
      </c>
      <c r="AE41" s="159" t="str">
        <f t="shared" si="7"/>
        <v>Alto</v>
      </c>
      <c r="AF41" s="138" t="s">
        <v>134</v>
      </c>
      <c r="AG41" s="125" t="s">
        <v>298</v>
      </c>
      <c r="AH41" s="126" t="s">
        <v>413</v>
      </c>
      <c r="AI41" s="129">
        <v>45688</v>
      </c>
      <c r="AJ41" s="129">
        <v>46022</v>
      </c>
      <c r="AK41" s="182" t="s">
        <v>581</v>
      </c>
      <c r="AL41" s="126" t="s">
        <v>414</v>
      </c>
      <c r="AM41" s="171"/>
    </row>
    <row r="42" spans="1:40" s="20" customFormat="1" ht="129" customHeight="1" x14ac:dyDescent="0.25">
      <c r="A42" s="294"/>
      <c r="B42" s="189" t="s">
        <v>228</v>
      </c>
      <c r="C42" s="189">
        <v>33</v>
      </c>
      <c r="D42" s="125" t="s">
        <v>132</v>
      </c>
      <c r="E42" s="130" t="s">
        <v>289</v>
      </c>
      <c r="F42" s="130" t="s">
        <v>290</v>
      </c>
      <c r="G42" s="131" t="s">
        <v>456</v>
      </c>
      <c r="H42" s="125" t="s">
        <v>122</v>
      </c>
      <c r="I42" s="126">
        <v>500</v>
      </c>
      <c r="J42" s="133" t="str">
        <f t="shared" si="11"/>
        <v>Media</v>
      </c>
      <c r="K42" s="134">
        <f t="shared" si="0"/>
        <v>0.6</v>
      </c>
      <c r="L42" s="135" t="s">
        <v>146</v>
      </c>
      <c r="M42" s="134" t="str">
        <f>IF(NOT(ISERROR(MATCH(L42,'Tabla Impacto'!$B$221:$B$223,0))),'Tabla Impacto'!$F$223&amp;"Por favor no seleccionar los criterios de impacto(Afectación Económica o presupuestal y Pérdida Reputacional)",L42)</f>
        <v xml:space="preserve">     Entre 50 y 100 SMLMV </v>
      </c>
      <c r="N42" s="133" t="str">
        <f>IF(OR(M42='Tabla Impacto'!$C$11,M42='Tabla Impacto'!$D$11),"Leve",IF(OR(M42='Tabla Impacto'!$C$12,M42='Tabla Impacto'!$D$12),"Menor",IF(OR(M42='Tabla Impacto'!$C$13,M42='Tabla Impacto'!$D$13),"Moderado",IF(OR(M42='Tabla Impacto'!$C$14,M42='Tabla Impacto'!$D$14),"Mayor",IF(OR(M42='Tabla Impacto'!$C$15,M42='Tabla Impacto'!$D$15),"Catastrófico","")))))</f>
        <v>Moderado</v>
      </c>
      <c r="O42" s="134">
        <f>IF(N42="","",IF(N42="Leve",0.2,IF(N42="Menor",0.4,IF(N42="Moderado",0.6,IF(N42="Mayor",0.8,IF(N42="Catastrófico",1,))))))</f>
        <v>0.6</v>
      </c>
      <c r="P42" s="136" t="str">
        <f>IF(OR(AND(J42="Muy Baja",N42="Leve"),AND(J42="Muy Baja",N42="Menor"),AND(J42="Baja",N42="Leve")),"Bajo",IF(OR(AND(J42="Muy baja",N42="Moderado"),AND(J42="Baja",N42="Menor"),AND(J42="Baja",N42="Moderado"),AND(J42="Media",N42="Leve"),AND(J42="Media",N42="Menor"),AND(J42="Media",N42="Moderado"),AND(J42="Alta",N42="Leve"),AND(J42="Alta",N42="Menor")),"Moderado",IF(OR(AND(J42="Muy Baja",N42="Mayor"),AND(J42="Baja",N42="Mayor"),AND(J42="Media",N42="Mayor"),AND(J42="Alta",N42="Moderado"),AND(J42="Alta",N42="Mayor"),AND(J42="Muy Alta",N42="Leve"),AND(J42="Muy Alta",N42="Menor"),AND(J42="Muy Alta",N42="Moderado"),AND(J42="Muy Alta",N42="Mayor")),"Alto",IF(OR(AND(J42="Muy Baja",N42="Catastrófico"),AND(J42="Baja",N42="Catastrófico"),AND(J42="Media",N42="Catastrófico"),AND(J42="Alta",N42="Catastrófico"),AND(J42="Muy Alta",N42="Catastrófico")),"Extremo",""))))</f>
        <v>Moderado</v>
      </c>
      <c r="Q42" s="152">
        <v>1</v>
      </c>
      <c r="R42" s="125" t="s">
        <v>296</v>
      </c>
      <c r="S42" s="137" t="str">
        <f t="shared" si="3"/>
        <v>Probabilidad</v>
      </c>
      <c r="T42" s="138" t="s">
        <v>14</v>
      </c>
      <c r="U42" s="138" t="s">
        <v>9</v>
      </c>
      <c r="V42" s="139" t="str">
        <f t="shared" si="4"/>
        <v>40%</v>
      </c>
      <c r="W42" s="138" t="s">
        <v>19</v>
      </c>
      <c r="X42" s="138" t="s">
        <v>22</v>
      </c>
      <c r="Y42" s="138" t="s">
        <v>118</v>
      </c>
      <c r="Z42" s="158">
        <f t="shared" si="13"/>
        <v>0.36</v>
      </c>
      <c r="AA42" s="140" t="str">
        <f t="shared" si="5"/>
        <v>Baja</v>
      </c>
      <c r="AB42" s="139">
        <f t="shared" si="10"/>
        <v>0.36</v>
      </c>
      <c r="AC42" s="140" t="str">
        <f t="shared" si="6"/>
        <v>Moderado</v>
      </c>
      <c r="AD42" s="139">
        <f t="shared" si="9"/>
        <v>0.6</v>
      </c>
      <c r="AE42" s="159" t="str">
        <f t="shared" si="7"/>
        <v>Moderado</v>
      </c>
      <c r="AF42" s="138" t="s">
        <v>31</v>
      </c>
      <c r="AG42" s="125" t="s">
        <v>388</v>
      </c>
      <c r="AH42" s="129" t="s">
        <v>389</v>
      </c>
      <c r="AI42" s="129">
        <v>45688</v>
      </c>
      <c r="AJ42" s="129">
        <v>46022</v>
      </c>
      <c r="AK42" s="182" t="s">
        <v>582</v>
      </c>
      <c r="AL42" s="126" t="s">
        <v>414</v>
      </c>
    </row>
    <row r="43" spans="1:40" s="20" customFormat="1" ht="115.5" x14ac:dyDescent="0.25">
      <c r="A43" s="294"/>
      <c r="B43" s="189" t="s">
        <v>228</v>
      </c>
      <c r="C43" s="189">
        <v>34</v>
      </c>
      <c r="D43" s="125" t="s">
        <v>132</v>
      </c>
      <c r="E43" s="130" t="s">
        <v>515</v>
      </c>
      <c r="F43" s="130" t="s">
        <v>291</v>
      </c>
      <c r="G43" s="131" t="s">
        <v>457</v>
      </c>
      <c r="H43" s="125" t="s">
        <v>122</v>
      </c>
      <c r="I43" s="126">
        <v>50</v>
      </c>
      <c r="J43" s="133" t="str">
        <f t="shared" si="11"/>
        <v>Media</v>
      </c>
      <c r="K43" s="134">
        <f t="shared" si="0"/>
        <v>0.6</v>
      </c>
      <c r="L43" s="135" t="s">
        <v>146</v>
      </c>
      <c r="M43" s="134" t="str">
        <f>IF(NOT(ISERROR(MATCH(L43,_xlfn.ANCHORARRAY(G61),0))),K62&amp;"Por favor no seleccionar los criterios de impacto",L43)</f>
        <v xml:space="preserve">     Entre 50 y 100 SMLMV </v>
      </c>
      <c r="N43" s="133" t="str">
        <f>IF(OR(M43='Tabla Impacto'!$C$11,M43='Tabla Impacto'!$D$11),"Leve",IF(OR(M43='Tabla Impacto'!$C$12,M43='Tabla Impacto'!$D$12),"Menor",IF(OR(M43='Tabla Impacto'!$C$13,M43='Tabla Impacto'!$D$13),"Moderado",IF(OR(M43='Tabla Impacto'!$C$14,M43='Tabla Impacto'!$D$14),"Mayor",IF(OR(M43='Tabla Impacto'!$C$15,M43='Tabla Impacto'!$D$15),"Catastrófico","")))))</f>
        <v>Moderado</v>
      </c>
      <c r="O43" s="134">
        <f t="shared" si="1"/>
        <v>0.6</v>
      </c>
      <c r="P43" s="136" t="str">
        <f t="shared" si="2"/>
        <v>Moderado</v>
      </c>
      <c r="Q43" s="152">
        <v>1</v>
      </c>
      <c r="R43" s="166" t="s">
        <v>297</v>
      </c>
      <c r="S43" s="137" t="str">
        <f t="shared" si="3"/>
        <v>Probabilidad</v>
      </c>
      <c r="T43" s="138" t="s">
        <v>14</v>
      </c>
      <c r="U43" s="138" t="s">
        <v>9</v>
      </c>
      <c r="V43" s="139" t="str">
        <f t="shared" si="4"/>
        <v>40%</v>
      </c>
      <c r="W43" s="138" t="s">
        <v>19</v>
      </c>
      <c r="X43" s="138" t="s">
        <v>22</v>
      </c>
      <c r="Y43" s="138" t="s">
        <v>118</v>
      </c>
      <c r="Z43" s="158">
        <f t="shared" si="13"/>
        <v>0.36</v>
      </c>
      <c r="AA43" s="140" t="str">
        <f t="shared" si="5"/>
        <v>Baja</v>
      </c>
      <c r="AB43" s="139">
        <f t="shared" si="10"/>
        <v>0.36</v>
      </c>
      <c r="AC43" s="140" t="str">
        <f t="shared" si="6"/>
        <v>Moderado</v>
      </c>
      <c r="AD43" s="139">
        <f t="shared" si="9"/>
        <v>0.6</v>
      </c>
      <c r="AE43" s="159" t="str">
        <f t="shared" si="7"/>
        <v>Moderado</v>
      </c>
      <c r="AF43" s="138" t="s">
        <v>134</v>
      </c>
      <c r="AG43" s="125" t="s">
        <v>299</v>
      </c>
      <c r="AH43" s="129" t="s">
        <v>389</v>
      </c>
      <c r="AI43" s="129">
        <v>45688</v>
      </c>
      <c r="AJ43" s="129">
        <v>46022</v>
      </c>
      <c r="AK43" s="182" t="s">
        <v>542</v>
      </c>
      <c r="AL43" s="126" t="s">
        <v>414</v>
      </c>
    </row>
    <row r="44" spans="1:40" s="20" customFormat="1" ht="91.35" customHeight="1" x14ac:dyDescent="0.25">
      <c r="A44" s="294"/>
      <c r="B44" s="189" t="s">
        <v>228</v>
      </c>
      <c r="C44" s="189">
        <v>35</v>
      </c>
      <c r="D44" s="125" t="s">
        <v>132</v>
      </c>
      <c r="E44" s="130" t="s">
        <v>329</v>
      </c>
      <c r="F44" s="130" t="s">
        <v>328</v>
      </c>
      <c r="G44" s="131" t="s">
        <v>458</v>
      </c>
      <c r="H44" s="125" t="s">
        <v>122</v>
      </c>
      <c r="I44" s="126">
        <v>500</v>
      </c>
      <c r="J44" s="133" t="str">
        <f t="shared" si="11"/>
        <v>Media</v>
      </c>
      <c r="K44" s="134">
        <f t="shared" si="0"/>
        <v>0.6</v>
      </c>
      <c r="L44" s="135" t="s">
        <v>153</v>
      </c>
      <c r="M44" s="134" t="str">
        <f>IF(NOT(ISERROR(MATCH(L44,_xlfn.ANCHORARRAY(G63),0))),K65&amp;"Por favor no seleccionar los criterios de impacto",L44)</f>
        <v xml:space="preserve">     El riesgo afecta la imagen de de la entidad con efecto publicitario sostenido a nivel de sector administrativo, nivel departamental o municipal</v>
      </c>
      <c r="N44" s="133" t="str">
        <f>IF(OR(M44='Tabla Impacto'!$C$11,M44='Tabla Impacto'!$D$11),"Leve",IF(OR(M44='Tabla Impacto'!$C$12,M44='Tabla Impacto'!$D$12),"Menor",IF(OR(M44='Tabla Impacto'!$C$13,M44='Tabla Impacto'!$D$13),"Moderado",IF(OR(M44='Tabla Impacto'!$C$14,M44='Tabla Impacto'!$D$14),"Mayor",IF(OR(M44='Tabla Impacto'!$C$15,M44='Tabla Impacto'!$D$15),"Catastrófico","")))))</f>
        <v>Mayor</v>
      </c>
      <c r="O44" s="134">
        <f t="shared" si="1"/>
        <v>0.8</v>
      </c>
      <c r="P44" s="136" t="str">
        <f t="shared" si="2"/>
        <v>Alto</v>
      </c>
      <c r="Q44" s="152">
        <v>1</v>
      </c>
      <c r="R44" s="125" t="s">
        <v>330</v>
      </c>
      <c r="S44" s="137" t="str">
        <f t="shared" si="3"/>
        <v>Impacto</v>
      </c>
      <c r="T44" s="138" t="s">
        <v>16</v>
      </c>
      <c r="U44" s="138" t="s">
        <v>9</v>
      </c>
      <c r="V44" s="139" t="str">
        <f>IF(AND(T44="Preventivo",U44="Automático"),"50%",IF(AND(T44="Preventivo",U44="Manual"),"40%",IF(AND(T44="Detectivo",U44="Automático"),"40%",IF(AND(T44="Detectivo",U44="Manual"),"30%",IF(AND(T44="Correctivo",U44="Automático"),"35%",IF(AND(T44="Correctivo",U44="Manual"),"25%",""))))))</f>
        <v>25%</v>
      </c>
      <c r="W44" s="138" t="s">
        <v>20</v>
      </c>
      <c r="X44" s="138" t="s">
        <v>22</v>
      </c>
      <c r="Y44" s="138" t="s">
        <v>118</v>
      </c>
      <c r="Z44" s="158">
        <f>IFERROR(IF(S44="Probabilidad",(K44-(+K44*V44)),IF(S44="Impacto",K44,"")),"")</f>
        <v>0.6</v>
      </c>
      <c r="AA44" s="140" t="str">
        <f>IFERROR(IF(Z44="","",IF(Z44&lt;=0.2,"Muy Baja",IF(Z44&lt;=0.4,"Baja",IF(Z44&lt;=0.6,"Media",IF(Z44&lt;=0.8,"Alta","Muy Alta"))))),"")</f>
        <v>Media</v>
      </c>
      <c r="AB44" s="139">
        <f>+Z44</f>
        <v>0.6</v>
      </c>
      <c r="AC44" s="140" t="str">
        <f>IFERROR(IF(AD44="","",IF(AD44&lt;=0.2,"Leve",IF(AD44&lt;=0.4,"Menor",IF(AD44&lt;=0.6,"Moderado",IF(AD44&lt;=0.8,"Mayor","Catastrófico"))))),"")</f>
        <v>Moderado</v>
      </c>
      <c r="AD44" s="139">
        <f>IFERROR(IF(S44="Impacto",(O44-(+O44*V44)),IF(S44="Probabilidad",O44,"")),"")</f>
        <v>0.60000000000000009</v>
      </c>
      <c r="AE44" s="159" t="str">
        <f>IFERROR(IF(OR(AND(AA44="Muy Baja",AC44="Leve"),AND(AA44="Muy Baja",AC44="Menor"),AND(AA44="Baja",AC44="Leve")),"Bajo",IF(OR(AND(AA44="Muy baja",AC44="Moderado"),AND(AA44="Baja",AC44="Menor"),AND(AA44="Baja",AC44="Moderado"),AND(AA44="Media",AC44="Leve"),AND(AA44="Media",AC44="Menor"),AND(AA44="Media",AC44="Moderado"),AND(AA44="Alta",AC44="Leve"),AND(AA44="Alta",AC44="Menor")),"Moderado",IF(OR(AND(AA44="Muy Baja",AC44="Mayor"),AND(AA44="Baja",AC44="Mayor"),AND(AA44="Media",AC44="Mayor"),AND(AA44="Alta",AC44="Moderado"),AND(AA44="Alta",AC44="Mayor"),AND(AA44="Muy Alta",AC44="Leve"),AND(AA44="Muy Alta",AC44="Menor"),AND(AA44="Muy Alta",AC44="Moderado"),AND(AA44="Muy Alta",AC44="Mayor")),"Alto",IF(OR(AND(AA44="Muy Baja",AC44="Catastrófico"),AND(AA44="Baja",AC44="Catastrófico"),AND(AA44="Media",AC44="Catastrófico"),AND(AA44="Alta",AC44="Catastrófico"),AND(AA44="Muy Alta",AC44="Catastrófico")),"Extremo","")))),"")</f>
        <v>Moderado</v>
      </c>
      <c r="AF44" s="138" t="s">
        <v>134</v>
      </c>
      <c r="AG44" s="125" t="s">
        <v>331</v>
      </c>
      <c r="AH44" s="129" t="s">
        <v>389</v>
      </c>
      <c r="AI44" s="129">
        <v>45688</v>
      </c>
      <c r="AJ44" s="129">
        <v>46022</v>
      </c>
      <c r="AK44" s="194" t="s">
        <v>545</v>
      </c>
      <c r="AL44" s="126" t="s">
        <v>414</v>
      </c>
    </row>
    <row r="45" spans="1:40" s="20" customFormat="1" ht="132" x14ac:dyDescent="0.25">
      <c r="A45" s="295"/>
      <c r="B45" s="189" t="s">
        <v>228</v>
      </c>
      <c r="C45" s="189">
        <v>36</v>
      </c>
      <c r="D45" s="125" t="s">
        <v>132</v>
      </c>
      <c r="E45" s="130" t="s">
        <v>300</v>
      </c>
      <c r="F45" s="130" t="s">
        <v>301</v>
      </c>
      <c r="G45" s="131" t="s">
        <v>459</v>
      </c>
      <c r="H45" s="125" t="s">
        <v>122</v>
      </c>
      <c r="I45" s="126">
        <v>24</v>
      </c>
      <c r="J45" s="133" t="str">
        <f t="shared" si="11"/>
        <v>Baja</v>
      </c>
      <c r="K45" s="134">
        <f t="shared" si="0"/>
        <v>0.4</v>
      </c>
      <c r="L45" s="135" t="s">
        <v>147</v>
      </c>
      <c r="M45" s="134" t="str">
        <f>IF(NOT(ISERROR(MATCH(L45,_xlfn.ANCHORARRAY(G63),0))),K65&amp;"Por favor no seleccionar los criterios de impacto",L45)</f>
        <v xml:space="preserve">     Entre 10 y 50 SMLMV </v>
      </c>
      <c r="N45" s="133" t="str">
        <f>IF(OR(M45='Tabla Impacto'!$C$11,M45='Tabla Impacto'!$D$11),"Leve",IF(OR(M45='Tabla Impacto'!$C$12,M45='Tabla Impacto'!$D$12),"Menor",IF(OR(M45='Tabla Impacto'!$C$13,M45='Tabla Impacto'!$D$13),"Moderado",IF(OR(M45='Tabla Impacto'!$C$14,M45='Tabla Impacto'!$D$14),"Mayor",IF(OR(M45='Tabla Impacto'!$C$15,M45='Tabla Impacto'!$D$15),"Catastrófico","")))))</f>
        <v>Menor</v>
      </c>
      <c r="O45" s="134">
        <f t="shared" si="1"/>
        <v>0.4</v>
      </c>
      <c r="P45" s="136" t="str">
        <f t="shared" si="2"/>
        <v>Moderado</v>
      </c>
      <c r="Q45" s="152">
        <v>1</v>
      </c>
      <c r="R45" s="167" t="s">
        <v>302</v>
      </c>
      <c r="S45" s="137" t="str">
        <f t="shared" si="3"/>
        <v>Probabilidad</v>
      </c>
      <c r="T45" s="138" t="s">
        <v>14</v>
      </c>
      <c r="U45" s="138" t="s">
        <v>9</v>
      </c>
      <c r="V45" s="139" t="str">
        <f t="shared" si="4"/>
        <v>40%</v>
      </c>
      <c r="W45" s="138" t="s">
        <v>19</v>
      </c>
      <c r="X45" s="138" t="s">
        <v>23</v>
      </c>
      <c r="Y45" s="138" t="s">
        <v>118</v>
      </c>
      <c r="Z45" s="158">
        <f>IFERROR(IF(S45="Probabilidad",(K45-(+K45*V45)),IF(S45="Impacto",K45,"")),"")</f>
        <v>0.24</v>
      </c>
      <c r="AA45" s="140" t="str">
        <f t="shared" si="5"/>
        <v>Baja</v>
      </c>
      <c r="AB45" s="139">
        <f t="shared" si="10"/>
        <v>0.24</v>
      </c>
      <c r="AC45" s="140" t="str">
        <f t="shared" si="6"/>
        <v>Menor</v>
      </c>
      <c r="AD45" s="139">
        <f t="shared" si="9"/>
        <v>0.4</v>
      </c>
      <c r="AE45" s="159" t="str">
        <f t="shared" si="7"/>
        <v>Moderado</v>
      </c>
      <c r="AF45" s="138" t="s">
        <v>31</v>
      </c>
      <c r="AG45" s="125" t="s">
        <v>390</v>
      </c>
      <c r="AH45" s="129" t="s">
        <v>389</v>
      </c>
      <c r="AI45" s="129">
        <v>45688</v>
      </c>
      <c r="AJ45" s="129">
        <v>46022</v>
      </c>
      <c r="AK45" s="182" t="s">
        <v>544</v>
      </c>
      <c r="AL45" s="126" t="s">
        <v>414</v>
      </c>
      <c r="AM45" s="183"/>
    </row>
    <row r="46" spans="1:40" s="20" customFormat="1" ht="115.5" x14ac:dyDescent="0.25">
      <c r="A46" s="150"/>
      <c r="B46" s="189" t="s">
        <v>229</v>
      </c>
      <c r="C46" s="189">
        <v>37</v>
      </c>
      <c r="D46" s="125" t="s">
        <v>132</v>
      </c>
      <c r="E46" s="130" t="s">
        <v>420</v>
      </c>
      <c r="F46" s="130" t="s">
        <v>303</v>
      </c>
      <c r="G46" s="131" t="s">
        <v>477</v>
      </c>
      <c r="H46" s="125" t="s">
        <v>122</v>
      </c>
      <c r="I46" s="126">
        <v>42</v>
      </c>
      <c r="J46" s="133" t="str">
        <f t="shared" si="11"/>
        <v>Media</v>
      </c>
      <c r="K46" s="134">
        <f t="shared" si="0"/>
        <v>0.6</v>
      </c>
      <c r="L46" s="135" t="s">
        <v>146</v>
      </c>
      <c r="M46" s="134" t="str">
        <f>IF(NOT(ISERROR(MATCH(L46,_xlfn.ANCHORARRAY(G66),0))),K68&amp;"Por favor no seleccionar los criterios de impacto",L46)</f>
        <v xml:space="preserve">     Entre 50 y 100 SMLMV </v>
      </c>
      <c r="N46" s="133" t="str">
        <f>IF(OR(M46='Tabla Impacto'!$C$11,M46='Tabla Impacto'!$D$11),"Leve",IF(OR(M46='Tabla Impacto'!$C$12,M46='Tabla Impacto'!$D$12),"Menor",IF(OR(M46='Tabla Impacto'!$C$13,M46='Tabla Impacto'!$D$13),"Moderado",IF(OR(M46='Tabla Impacto'!$C$14,M46='Tabla Impacto'!$D$14),"Mayor",IF(OR(M46='Tabla Impacto'!$C$15,M46='Tabla Impacto'!$D$15),"Catastrófico","")))))</f>
        <v>Moderado</v>
      </c>
      <c r="O46" s="134">
        <f>IF(N46="","",IF(N46="Leve",0.2,IF(N46="Menor",0.4,IF(N46="Moderado",0.6,IF(N46="Mayor",0.8,IF(N46="Catastrófico",1,))))))</f>
        <v>0.6</v>
      </c>
      <c r="P46" s="136" t="str">
        <f>IF(OR(AND(J46="Muy Baja",N46="Leve"),AND(J46="Muy Baja",N46="Menor"),AND(J46="Baja",N46="Leve")),"Bajo",IF(OR(AND(J46="Muy baja",N46="Moderado"),AND(J46="Baja",N46="Menor"),AND(J46="Baja",N46="Moderado"),AND(J46="Media",N46="Leve"),AND(J46="Media",N46="Menor"),AND(J46="Media",N46="Moderado"),AND(J46="Alta",N46="Leve"),AND(J46="Alta",N46="Menor")),"Moderado",IF(OR(AND(J46="Muy Baja",N46="Mayor"),AND(J46="Baja",N46="Mayor"),AND(J46="Media",N46="Mayor"),AND(J46="Alta",N46="Moderado"),AND(J46="Alta",N46="Mayor"),AND(J46="Muy Alta",N46="Leve"),AND(J46="Muy Alta",N46="Menor"),AND(J46="Muy Alta",N46="Moderado"),AND(J46="Muy Alta",N46="Mayor")),"Alto",IF(OR(AND(J46="Muy Baja",N46="Catastrófico"),AND(J46="Baja",N46="Catastrófico"),AND(J46="Media",N46="Catastrófico"),AND(J46="Alta",N46="Catastrófico"),AND(J46="Muy Alta",N46="Catastrófico")),"Extremo",""))))</f>
        <v>Moderado</v>
      </c>
      <c r="Q46" s="152">
        <v>1</v>
      </c>
      <c r="R46" s="166" t="s">
        <v>421</v>
      </c>
      <c r="S46" s="137" t="str">
        <f t="shared" si="3"/>
        <v>Probabilidad</v>
      </c>
      <c r="T46" s="138" t="s">
        <v>14</v>
      </c>
      <c r="U46" s="138" t="s">
        <v>9</v>
      </c>
      <c r="V46" s="139" t="str">
        <f t="shared" si="4"/>
        <v>40%</v>
      </c>
      <c r="W46" s="138" t="s">
        <v>19</v>
      </c>
      <c r="X46" s="138" t="s">
        <v>22</v>
      </c>
      <c r="Y46" s="138" t="s">
        <v>118</v>
      </c>
      <c r="Z46" s="158">
        <f t="shared" si="13"/>
        <v>0.36</v>
      </c>
      <c r="AA46" s="140" t="str">
        <f t="shared" si="5"/>
        <v>Baja</v>
      </c>
      <c r="AB46" s="139">
        <f t="shared" si="10"/>
        <v>0.36</v>
      </c>
      <c r="AC46" s="140" t="str">
        <f t="shared" si="6"/>
        <v>Moderado</v>
      </c>
      <c r="AD46" s="139">
        <f t="shared" si="9"/>
        <v>0.6</v>
      </c>
      <c r="AE46" s="159" t="str">
        <f t="shared" si="7"/>
        <v>Moderado</v>
      </c>
      <c r="AF46" s="138" t="s">
        <v>134</v>
      </c>
      <c r="AG46" s="125" t="s">
        <v>535</v>
      </c>
      <c r="AH46" s="126" t="s">
        <v>304</v>
      </c>
      <c r="AI46" s="129">
        <v>45688</v>
      </c>
      <c r="AJ46" s="129">
        <v>46022</v>
      </c>
      <c r="AK46" s="182" t="s">
        <v>571</v>
      </c>
      <c r="AL46" s="126" t="s">
        <v>414</v>
      </c>
    </row>
    <row r="47" spans="1:40" s="20" customFormat="1" ht="213.95" customHeight="1" x14ac:dyDescent="0.25">
      <c r="A47" s="297" t="s">
        <v>230</v>
      </c>
      <c r="B47" s="189" t="s">
        <v>230</v>
      </c>
      <c r="C47" s="189">
        <v>38</v>
      </c>
      <c r="D47" s="125" t="s">
        <v>130</v>
      </c>
      <c r="E47" s="130" t="s">
        <v>443</v>
      </c>
      <c r="F47" s="130" t="s">
        <v>500</v>
      </c>
      <c r="G47" s="131" t="s">
        <v>478</v>
      </c>
      <c r="H47" s="125" t="s">
        <v>127</v>
      </c>
      <c r="I47" s="126">
        <v>7000</v>
      </c>
      <c r="J47" s="133" t="str">
        <f>IF(I47&lt;=0,"",IF(I47&lt;=2,"Muy Baja",IF(I47&lt;=24,"Baja",IF(I47&lt;=500,"Media",IF(I47&lt;=5000,"Alta","Muy Alta")))))</f>
        <v>Muy Alta</v>
      </c>
      <c r="K47" s="134">
        <f>IF(J47="","",IF(J47="Muy Baja",0.2,IF(J47="Baja",0.4,IF(J47="Media",0.6,IF(J47="Alta",0.8,IF(J47="Muy Alta",1,))))))</f>
        <v>1</v>
      </c>
      <c r="L47" s="135" t="s">
        <v>152</v>
      </c>
      <c r="M47" s="134" t="s">
        <v>444</v>
      </c>
      <c r="N47" s="133" t="s">
        <v>53</v>
      </c>
      <c r="O47" s="134">
        <v>1</v>
      </c>
      <c r="P47" s="136" t="str">
        <f>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
      </c>
      <c r="Q47" s="152">
        <v>1</v>
      </c>
      <c r="R47" s="167" t="s">
        <v>445</v>
      </c>
      <c r="S47" s="137" t="str">
        <f t="shared" si="3"/>
        <v>Probabilidad</v>
      </c>
      <c r="T47" s="138" t="s">
        <v>14</v>
      </c>
      <c r="U47" s="138" t="s">
        <v>9</v>
      </c>
      <c r="V47" s="139" t="str">
        <f t="shared" si="4"/>
        <v>40%</v>
      </c>
      <c r="W47" s="138" t="s">
        <v>19</v>
      </c>
      <c r="X47" s="138" t="s">
        <v>22</v>
      </c>
      <c r="Y47" s="138" t="s">
        <v>118</v>
      </c>
      <c r="Z47" s="158">
        <f t="shared" si="13"/>
        <v>0.6</v>
      </c>
      <c r="AA47" s="140" t="str">
        <f t="shared" si="5"/>
        <v>Media</v>
      </c>
      <c r="AB47" s="139">
        <f t="shared" si="10"/>
        <v>0.6</v>
      </c>
      <c r="AC47" s="140" t="str">
        <f t="shared" si="6"/>
        <v>Catastrófico</v>
      </c>
      <c r="AD47" s="139">
        <f t="shared" si="9"/>
        <v>1</v>
      </c>
      <c r="AE47" s="159" t="str">
        <f t="shared" si="7"/>
        <v>Extremo</v>
      </c>
      <c r="AF47" s="138" t="s">
        <v>32</v>
      </c>
      <c r="AG47" s="125" t="s">
        <v>445</v>
      </c>
      <c r="AH47" s="126" t="s">
        <v>389</v>
      </c>
      <c r="AI47" s="129">
        <v>45688</v>
      </c>
      <c r="AJ47" s="129">
        <v>46022</v>
      </c>
      <c r="AK47" s="182" t="s">
        <v>558</v>
      </c>
      <c r="AL47" s="126" t="s">
        <v>414</v>
      </c>
    </row>
    <row r="48" spans="1:40" s="20" customFormat="1" ht="156.94999999999999" customHeight="1" x14ac:dyDescent="0.25">
      <c r="A48" s="297"/>
      <c r="B48" s="189" t="s">
        <v>438</v>
      </c>
      <c r="C48" s="189">
        <v>39</v>
      </c>
      <c r="D48" s="125" t="s">
        <v>479</v>
      </c>
      <c r="E48" s="130" t="s">
        <v>491</v>
      </c>
      <c r="F48" s="130" t="s">
        <v>490</v>
      </c>
      <c r="G48" s="131" t="s">
        <v>480</v>
      </c>
      <c r="H48" s="125" t="s">
        <v>122</v>
      </c>
      <c r="I48" s="126">
        <v>150</v>
      </c>
      <c r="J48" s="133" t="str">
        <f t="shared" si="11"/>
        <v>Media</v>
      </c>
      <c r="K48" s="134">
        <f t="shared" si="0"/>
        <v>0.6</v>
      </c>
      <c r="L48" s="135" t="s">
        <v>150</v>
      </c>
      <c r="M48" s="134" t="s">
        <v>429</v>
      </c>
      <c r="N48" s="133" t="s">
        <v>439</v>
      </c>
      <c r="O48" s="134">
        <v>0.5</v>
      </c>
      <c r="P48" s="136" t="s">
        <v>439</v>
      </c>
      <c r="Q48" s="152">
        <v>1</v>
      </c>
      <c r="R48" s="166" t="s">
        <v>440</v>
      </c>
      <c r="S48" s="137" t="str">
        <f t="shared" si="3"/>
        <v>Probabilidad</v>
      </c>
      <c r="T48" s="138" t="s">
        <v>14</v>
      </c>
      <c r="U48" s="138" t="s">
        <v>9</v>
      </c>
      <c r="V48" s="139" t="str">
        <f t="shared" si="4"/>
        <v>40%</v>
      </c>
      <c r="W48" s="138" t="s">
        <v>19</v>
      </c>
      <c r="X48" s="138" t="s">
        <v>22</v>
      </c>
      <c r="Y48" s="138" t="s">
        <v>118</v>
      </c>
      <c r="Z48" s="158">
        <f t="shared" si="13"/>
        <v>0.36</v>
      </c>
      <c r="AA48" s="140" t="str">
        <f t="shared" si="5"/>
        <v>Baja</v>
      </c>
      <c r="AB48" s="139">
        <f t="shared" si="10"/>
        <v>0.36</v>
      </c>
      <c r="AC48" s="140" t="str">
        <f t="shared" si="6"/>
        <v>Moderado</v>
      </c>
      <c r="AD48" s="139">
        <f t="shared" si="9"/>
        <v>0.5</v>
      </c>
      <c r="AE48" s="159" t="str">
        <f t="shared" si="7"/>
        <v>Moderado</v>
      </c>
      <c r="AF48" s="138" t="s">
        <v>134</v>
      </c>
      <c r="AG48" s="125" t="s">
        <v>440</v>
      </c>
      <c r="AH48" s="125" t="s">
        <v>442</v>
      </c>
      <c r="AI48" s="129">
        <v>45688</v>
      </c>
      <c r="AJ48" s="129">
        <v>46022</v>
      </c>
      <c r="AK48" s="182" t="s">
        <v>583</v>
      </c>
      <c r="AL48" s="126" t="s">
        <v>414</v>
      </c>
    </row>
    <row r="49" spans="1:39" s="20" customFormat="1" ht="115.5" x14ac:dyDescent="0.25">
      <c r="A49" s="297"/>
      <c r="B49" s="189" t="s">
        <v>438</v>
      </c>
      <c r="C49" s="189">
        <v>40</v>
      </c>
      <c r="D49" s="125" t="s">
        <v>479</v>
      </c>
      <c r="E49" s="130" t="s">
        <v>494</v>
      </c>
      <c r="F49" s="130" t="s">
        <v>492</v>
      </c>
      <c r="G49" s="131" t="s">
        <v>493</v>
      </c>
      <c r="H49" s="125" t="s">
        <v>122</v>
      </c>
      <c r="I49" s="126">
        <v>150</v>
      </c>
      <c r="J49" s="133" t="str">
        <f t="shared" si="11"/>
        <v>Media</v>
      </c>
      <c r="K49" s="134">
        <f t="shared" si="0"/>
        <v>0.6</v>
      </c>
      <c r="L49" s="135" t="s">
        <v>150</v>
      </c>
      <c r="M49" s="134" t="s">
        <v>429</v>
      </c>
      <c r="N49" s="133" t="s">
        <v>439</v>
      </c>
      <c r="O49" s="134">
        <v>0.5</v>
      </c>
      <c r="P49" s="136" t="s">
        <v>439</v>
      </c>
      <c r="Q49" s="152">
        <v>1</v>
      </c>
      <c r="R49" s="166" t="s">
        <v>441</v>
      </c>
      <c r="S49" s="137" t="str">
        <f t="shared" si="3"/>
        <v>Probabilidad</v>
      </c>
      <c r="T49" s="138" t="s">
        <v>14</v>
      </c>
      <c r="U49" s="138" t="s">
        <v>9</v>
      </c>
      <c r="V49" s="139" t="str">
        <f t="shared" si="4"/>
        <v>40%</v>
      </c>
      <c r="W49" s="138" t="s">
        <v>19</v>
      </c>
      <c r="X49" s="138" t="s">
        <v>22</v>
      </c>
      <c r="Y49" s="138" t="s">
        <v>118</v>
      </c>
      <c r="Z49" s="158">
        <f t="shared" si="13"/>
        <v>0.36</v>
      </c>
      <c r="AA49" s="140" t="str">
        <f t="shared" si="5"/>
        <v>Baja</v>
      </c>
      <c r="AB49" s="139">
        <f t="shared" si="10"/>
        <v>0.36</v>
      </c>
      <c r="AC49" s="140" t="str">
        <f t="shared" si="6"/>
        <v>Moderado</v>
      </c>
      <c r="AD49" s="139">
        <f t="shared" si="9"/>
        <v>0.5</v>
      </c>
      <c r="AE49" s="159" t="str">
        <f t="shared" si="7"/>
        <v>Moderado</v>
      </c>
      <c r="AF49" s="138" t="s">
        <v>134</v>
      </c>
      <c r="AG49" s="125" t="s">
        <v>441</v>
      </c>
      <c r="AH49" s="125" t="s">
        <v>442</v>
      </c>
      <c r="AI49" s="129">
        <v>45688</v>
      </c>
      <c r="AJ49" s="129">
        <v>46022</v>
      </c>
      <c r="AK49" s="182" t="s">
        <v>584</v>
      </c>
      <c r="AL49" s="126" t="s">
        <v>414</v>
      </c>
    </row>
    <row r="50" spans="1:39" s="20" customFormat="1" ht="132" x14ac:dyDescent="0.25">
      <c r="A50" s="260" t="s">
        <v>231</v>
      </c>
      <c r="B50" s="189" t="s">
        <v>232</v>
      </c>
      <c r="C50" s="189">
        <v>41</v>
      </c>
      <c r="D50" s="125" t="s">
        <v>132</v>
      </c>
      <c r="E50" s="130" t="s">
        <v>305</v>
      </c>
      <c r="F50" s="130" t="s">
        <v>306</v>
      </c>
      <c r="G50" s="131" t="s">
        <v>481</v>
      </c>
      <c r="H50" s="125" t="s">
        <v>123</v>
      </c>
      <c r="I50" s="126">
        <v>10</v>
      </c>
      <c r="J50" s="133" t="str">
        <f t="shared" si="11"/>
        <v>Baja</v>
      </c>
      <c r="K50" s="134">
        <f t="shared" si="0"/>
        <v>0.4</v>
      </c>
      <c r="L50" s="135" t="s">
        <v>143</v>
      </c>
      <c r="M50" s="134" t="str">
        <f>IF(NOT(ISERROR(MATCH(L50,_xlfn.ANCHORARRAY(G70),0))),K72&amp;"Por favor no seleccionar los criterios de impacto",L50)</f>
        <v xml:space="preserve">     Afectación menor a 10 SMLMV .</v>
      </c>
      <c r="N50" s="133" t="str">
        <f>IF(OR(M50='Tabla Impacto'!$C$11,M50='Tabla Impacto'!$D$11),"Leve",IF(OR(M50='Tabla Impacto'!$C$12,M50='Tabla Impacto'!$D$12),"Menor",IF(OR(M50='Tabla Impacto'!$C$13,M50='Tabla Impacto'!$D$13),"Moderado",IF(OR(M50='Tabla Impacto'!$C$14,M50='Tabla Impacto'!$D$14),"Mayor",IF(OR(M50='Tabla Impacto'!$C$15,M50='Tabla Impacto'!$D$15),"Catastrófico","")))))</f>
        <v>Leve</v>
      </c>
      <c r="O50" s="134">
        <f t="shared" si="1"/>
        <v>0.2</v>
      </c>
      <c r="P50" s="136" t="str">
        <f t="shared" si="2"/>
        <v>Bajo</v>
      </c>
      <c r="Q50" s="152">
        <v>1</v>
      </c>
      <c r="R50" s="128" t="s">
        <v>309</v>
      </c>
      <c r="S50" s="137" t="str">
        <f t="shared" si="3"/>
        <v>Probabilidad</v>
      </c>
      <c r="T50" s="138" t="s">
        <v>14</v>
      </c>
      <c r="U50" s="138" t="s">
        <v>9</v>
      </c>
      <c r="V50" s="139" t="str">
        <f t="shared" si="4"/>
        <v>40%</v>
      </c>
      <c r="W50" s="138" t="s">
        <v>20</v>
      </c>
      <c r="X50" s="138" t="s">
        <v>22</v>
      </c>
      <c r="Y50" s="138" t="s">
        <v>118</v>
      </c>
      <c r="Z50" s="158">
        <f t="shared" si="13"/>
        <v>0.24</v>
      </c>
      <c r="AA50" s="140" t="str">
        <f t="shared" si="5"/>
        <v>Baja</v>
      </c>
      <c r="AB50" s="139">
        <f t="shared" si="10"/>
        <v>0.24</v>
      </c>
      <c r="AC50" s="140" t="str">
        <f t="shared" si="6"/>
        <v>Leve</v>
      </c>
      <c r="AD50" s="139">
        <f t="shared" si="9"/>
        <v>0.2</v>
      </c>
      <c r="AE50" s="159" t="str">
        <f t="shared" si="7"/>
        <v>Bajo</v>
      </c>
      <c r="AF50" s="138" t="s">
        <v>134</v>
      </c>
      <c r="AG50" s="128" t="s">
        <v>311</v>
      </c>
      <c r="AH50" s="126" t="s">
        <v>312</v>
      </c>
      <c r="AI50" s="129">
        <v>45688</v>
      </c>
      <c r="AJ50" s="129">
        <v>46022</v>
      </c>
      <c r="AK50" s="182" t="s">
        <v>566</v>
      </c>
      <c r="AL50" s="126" t="s">
        <v>414</v>
      </c>
    </row>
    <row r="51" spans="1:39" s="20" customFormat="1" ht="181.5" x14ac:dyDescent="0.25">
      <c r="A51" s="262"/>
      <c r="B51" s="189" t="s">
        <v>232</v>
      </c>
      <c r="C51" s="189">
        <v>42</v>
      </c>
      <c r="D51" s="125" t="s">
        <v>132</v>
      </c>
      <c r="E51" s="130" t="s">
        <v>307</v>
      </c>
      <c r="F51" s="130" t="s">
        <v>308</v>
      </c>
      <c r="G51" s="131" t="s">
        <v>482</v>
      </c>
      <c r="H51" s="125" t="s">
        <v>122</v>
      </c>
      <c r="I51" s="126">
        <v>500</v>
      </c>
      <c r="J51" s="133" t="str">
        <f t="shared" si="11"/>
        <v>Media</v>
      </c>
      <c r="K51" s="134">
        <f t="shared" si="0"/>
        <v>0.6</v>
      </c>
      <c r="L51" s="135" t="s">
        <v>146</v>
      </c>
      <c r="M51" s="134" t="str">
        <f>IF(NOT(ISERROR(MATCH(L51,_xlfn.ANCHORARRAY(G71),0))),K73&amp;"Por favor no seleccionar los criterios de impacto",L51)</f>
        <v xml:space="preserve">     Entre 50 y 100 SMLMV </v>
      </c>
      <c r="N51" s="133" t="str">
        <f>IF(OR(M51='Tabla Impacto'!$C$11,M51='Tabla Impacto'!$D$11),"Leve",IF(OR(M51='Tabla Impacto'!$C$12,M51='Tabla Impacto'!$D$12),"Menor",IF(OR(M51='Tabla Impacto'!$C$13,M51='Tabla Impacto'!$D$13),"Moderado",IF(OR(M51='Tabla Impacto'!$C$14,M51='Tabla Impacto'!$D$14),"Mayor",IF(OR(M51='Tabla Impacto'!$C$15,M51='Tabla Impacto'!$D$15),"Catastrófico","")))))</f>
        <v>Moderado</v>
      </c>
      <c r="O51" s="134">
        <f t="shared" si="1"/>
        <v>0.6</v>
      </c>
      <c r="P51" s="136" t="str">
        <f t="shared" si="2"/>
        <v>Moderado</v>
      </c>
      <c r="Q51" s="152">
        <v>1</v>
      </c>
      <c r="R51" s="127" t="s">
        <v>310</v>
      </c>
      <c r="S51" s="137" t="str">
        <f t="shared" si="3"/>
        <v>Probabilidad</v>
      </c>
      <c r="T51" s="138" t="s">
        <v>14</v>
      </c>
      <c r="U51" s="138" t="s">
        <v>9</v>
      </c>
      <c r="V51" s="139" t="str">
        <f t="shared" si="4"/>
        <v>40%</v>
      </c>
      <c r="W51" s="138" t="s">
        <v>19</v>
      </c>
      <c r="X51" s="138" t="s">
        <v>22</v>
      </c>
      <c r="Y51" s="138" t="s">
        <v>118</v>
      </c>
      <c r="Z51" s="158">
        <f t="shared" si="13"/>
        <v>0.36</v>
      </c>
      <c r="AA51" s="140" t="str">
        <f t="shared" si="5"/>
        <v>Baja</v>
      </c>
      <c r="AB51" s="139">
        <f t="shared" si="10"/>
        <v>0.36</v>
      </c>
      <c r="AC51" s="140" t="str">
        <f t="shared" si="6"/>
        <v>Moderado</v>
      </c>
      <c r="AD51" s="139">
        <f t="shared" si="9"/>
        <v>0.6</v>
      </c>
      <c r="AE51" s="159" t="str">
        <f t="shared" si="7"/>
        <v>Moderado</v>
      </c>
      <c r="AF51" s="138" t="s">
        <v>134</v>
      </c>
      <c r="AG51" s="128" t="s">
        <v>519</v>
      </c>
      <c r="AH51" s="126" t="s">
        <v>312</v>
      </c>
      <c r="AI51" s="129">
        <v>45688</v>
      </c>
      <c r="AJ51" s="129">
        <v>46022</v>
      </c>
      <c r="AK51" s="182" t="s">
        <v>567</v>
      </c>
      <c r="AL51" s="126" t="s">
        <v>414</v>
      </c>
    </row>
    <row r="52" spans="1:39" s="20" customFormat="1" ht="181.5" x14ac:dyDescent="0.25">
      <c r="A52" s="151"/>
      <c r="B52" s="189" t="s">
        <v>510</v>
      </c>
      <c r="C52" s="189">
        <v>43</v>
      </c>
      <c r="D52" s="125" t="s">
        <v>130</v>
      </c>
      <c r="E52" s="172" t="s">
        <v>496</v>
      </c>
      <c r="F52" s="172" t="s">
        <v>497</v>
      </c>
      <c r="G52" s="173" t="s">
        <v>495</v>
      </c>
      <c r="H52" s="125" t="s">
        <v>127</v>
      </c>
      <c r="I52" s="197">
        <v>1</v>
      </c>
      <c r="J52" s="133" t="s">
        <v>53</v>
      </c>
      <c r="K52" s="134">
        <v>1</v>
      </c>
      <c r="L52" s="135" t="s">
        <v>153</v>
      </c>
      <c r="M52" s="134" t="s">
        <v>415</v>
      </c>
      <c r="N52" s="133" t="s">
        <v>84</v>
      </c>
      <c r="O52" s="134">
        <v>1</v>
      </c>
      <c r="P52" s="136" t="s">
        <v>78</v>
      </c>
      <c r="Q52" s="152">
        <v>1</v>
      </c>
      <c r="R52" s="128" t="s">
        <v>520</v>
      </c>
      <c r="S52" s="137" t="s">
        <v>2</v>
      </c>
      <c r="T52" s="138" t="s">
        <v>16</v>
      </c>
      <c r="U52" s="138" t="s">
        <v>416</v>
      </c>
      <c r="V52" s="139">
        <v>0.6</v>
      </c>
      <c r="W52" s="138" t="s">
        <v>410</v>
      </c>
      <c r="X52" s="138" t="s">
        <v>417</v>
      </c>
      <c r="Y52" s="138" t="s">
        <v>118</v>
      </c>
      <c r="Z52" s="158">
        <v>0.6</v>
      </c>
      <c r="AA52" s="140" t="s">
        <v>53</v>
      </c>
      <c r="AB52" s="139">
        <v>0.6</v>
      </c>
      <c r="AC52" s="140" t="s">
        <v>7</v>
      </c>
      <c r="AD52" s="139">
        <v>1</v>
      </c>
      <c r="AE52" s="159" t="s">
        <v>418</v>
      </c>
      <c r="AF52" s="138" t="s">
        <v>134</v>
      </c>
      <c r="AG52" s="127" t="s">
        <v>419</v>
      </c>
      <c r="AH52" s="155" t="s">
        <v>319</v>
      </c>
      <c r="AI52" s="129">
        <v>45688</v>
      </c>
      <c r="AJ52" s="129">
        <v>46022</v>
      </c>
      <c r="AK52" s="182" t="s">
        <v>568</v>
      </c>
      <c r="AL52" s="126" t="s">
        <v>414</v>
      </c>
    </row>
    <row r="53" spans="1:39" s="20" customFormat="1" ht="231" x14ac:dyDescent="0.25">
      <c r="A53" s="297" t="s">
        <v>233</v>
      </c>
      <c r="B53" s="189" t="s">
        <v>511</v>
      </c>
      <c r="C53" s="189">
        <v>44</v>
      </c>
      <c r="D53" s="125" t="s">
        <v>130</v>
      </c>
      <c r="E53" s="155" t="s">
        <v>498</v>
      </c>
      <c r="F53" s="155" t="s">
        <v>499</v>
      </c>
      <c r="G53" s="184" t="s">
        <v>483</v>
      </c>
      <c r="H53" s="125" t="s">
        <v>127</v>
      </c>
      <c r="I53" s="126">
        <v>10000</v>
      </c>
      <c r="J53" s="133" t="str">
        <f t="shared" si="11"/>
        <v>Muy Alta</v>
      </c>
      <c r="K53" s="134">
        <f t="shared" si="0"/>
        <v>1</v>
      </c>
      <c r="L53" s="135" t="s">
        <v>154</v>
      </c>
      <c r="M53" s="134" t="str">
        <f t="shared" ref="M53:M60" si="14">IF(NOT(ISERROR(MATCH(L53,_xlfn.ANCHORARRAY(G72),0))),K74&amp;"Por favor no seleccionar los criterios de impacto",L53)</f>
        <v xml:space="preserve">     El riesgo afecta la imagen de la entidad a nivel nacional, con efecto publicitarios sostenible a nivel país</v>
      </c>
      <c r="N53" s="133" t="str">
        <f>IF(OR(M53='Tabla Impacto'!$C$11,M53='Tabla Impacto'!$D$11),"Leve",IF(OR(M53='Tabla Impacto'!$C$12,M53='Tabla Impacto'!$D$12),"Menor",IF(OR(M53='Tabla Impacto'!$C$13,M53='Tabla Impacto'!$D$13),"Moderado",IF(OR(M53='Tabla Impacto'!$C$14,M53='Tabla Impacto'!$D$14),"Mayor",IF(OR(M53='Tabla Impacto'!$C$15,M53='Tabla Impacto'!$D$15),"Catastrófico","")))))</f>
        <v>Catastrófico</v>
      </c>
      <c r="O53" s="134">
        <f t="shared" si="1"/>
        <v>1</v>
      </c>
      <c r="P53" s="136" t="str">
        <f t="shared" si="2"/>
        <v>Extremo</v>
      </c>
      <c r="Q53" s="152">
        <v>1</v>
      </c>
      <c r="R53" s="185" t="s">
        <v>521</v>
      </c>
      <c r="S53" s="137" t="str">
        <f t="shared" si="3"/>
        <v>Probabilidad</v>
      </c>
      <c r="T53" s="138" t="s">
        <v>15</v>
      </c>
      <c r="U53" s="138" t="s">
        <v>10</v>
      </c>
      <c r="V53" s="139" t="str">
        <f t="shared" si="4"/>
        <v>40%</v>
      </c>
      <c r="W53" s="138" t="s">
        <v>19</v>
      </c>
      <c r="X53" s="138" t="s">
        <v>22</v>
      </c>
      <c r="Y53" s="138" t="s">
        <v>118</v>
      </c>
      <c r="Z53" s="158">
        <f t="shared" si="13"/>
        <v>0.6</v>
      </c>
      <c r="AA53" s="140" t="str">
        <f t="shared" si="5"/>
        <v>Media</v>
      </c>
      <c r="AB53" s="139">
        <f t="shared" si="10"/>
        <v>0.6</v>
      </c>
      <c r="AC53" s="140" t="str">
        <f t="shared" si="6"/>
        <v>Catastrófico</v>
      </c>
      <c r="AD53" s="139">
        <f t="shared" si="9"/>
        <v>1</v>
      </c>
      <c r="AE53" s="159" t="str">
        <f t="shared" si="7"/>
        <v>Extremo</v>
      </c>
      <c r="AF53" s="138" t="s">
        <v>134</v>
      </c>
      <c r="AG53" s="155" t="s">
        <v>317</v>
      </c>
      <c r="AH53" s="155" t="s">
        <v>319</v>
      </c>
      <c r="AI53" s="129">
        <v>45688</v>
      </c>
      <c r="AJ53" s="129">
        <v>46022</v>
      </c>
      <c r="AK53" s="182" t="s">
        <v>569</v>
      </c>
      <c r="AL53" s="126" t="s">
        <v>414</v>
      </c>
    </row>
    <row r="54" spans="1:39" s="20" customFormat="1" ht="198" x14ac:dyDescent="0.25">
      <c r="A54" s="297"/>
      <c r="B54" s="189" t="s">
        <v>512</v>
      </c>
      <c r="C54" s="189">
        <v>45</v>
      </c>
      <c r="D54" s="125" t="s">
        <v>130</v>
      </c>
      <c r="E54" s="172" t="s">
        <v>313</v>
      </c>
      <c r="F54" s="172" t="s">
        <v>314</v>
      </c>
      <c r="G54" s="173" t="s">
        <v>315</v>
      </c>
      <c r="H54" s="125" t="s">
        <v>127</v>
      </c>
      <c r="I54" s="126">
        <v>60000</v>
      </c>
      <c r="J54" s="133" t="str">
        <f t="shared" si="11"/>
        <v>Muy Alta</v>
      </c>
      <c r="K54" s="134">
        <f t="shared" ref="K54:K60" si="15">IF(J54="","",IF(J54="Muy Baja",0.2,IF(J54="Baja",0.4,IF(J54="Media",0.6,IF(J54="Alta",0.8,IF(J54="Muy Alta",1,))))))</f>
        <v>1</v>
      </c>
      <c r="L54" s="135" t="s">
        <v>154</v>
      </c>
      <c r="M54" s="134" t="str">
        <f t="shared" si="14"/>
        <v xml:space="preserve">     El riesgo afecta la imagen de la entidad a nivel nacional, con efecto publicitarios sostenible a nivel país</v>
      </c>
      <c r="N54" s="133" t="str">
        <f>IF(OR(M54='Tabla Impacto'!$C$11,M54='Tabla Impacto'!$D$11),"Leve",IF(OR(M54='Tabla Impacto'!$C$12,M54='Tabla Impacto'!$D$12),"Menor",IF(OR(M54='Tabla Impacto'!$C$13,M54='Tabla Impacto'!$D$13),"Moderado",IF(OR(M54='Tabla Impacto'!$C$14,M54='Tabla Impacto'!$D$14),"Mayor",IF(OR(M54='Tabla Impacto'!$C$15,M54='Tabla Impacto'!$D$15),"Catastrófico","")))))</f>
        <v>Catastrófico</v>
      </c>
      <c r="O54" s="134">
        <f>IF(N54="","",IF(N54="Leve",0.2,IF(N54="Menor",0.4,IF(N54="Moderado",0.6,IF(N54="Mayor",0.8,IF(N54="Catastrófico",1,))))))</f>
        <v>1</v>
      </c>
      <c r="P54" s="136" t="str">
        <f>IF(OR(AND(J54="Muy Baja",N54="Leve"),AND(J54="Muy Baja",N54="Menor"),AND(J54="Baja",N54="Leve")),"Bajo",IF(OR(AND(J54="Muy baja",N54="Moderado"),AND(J54="Baja",N54="Menor"),AND(J54="Baja",N54="Moderado"),AND(J54="Media",N54="Leve"),AND(J54="Media",N54="Menor"),AND(J54="Media",N54="Moderado"),AND(J54="Alta",N54="Leve"),AND(J54="Alta",N54="Menor")),"Moderado",IF(OR(AND(J54="Muy Baja",N54="Mayor"),AND(J54="Baja",N54="Mayor"),AND(J54="Media",N54="Mayor"),AND(J54="Alta",N54="Moderado"),AND(J54="Alta",N54="Mayor"),AND(J54="Muy Alta",N54="Leve"),AND(J54="Muy Alta",N54="Menor"),AND(J54="Muy Alta",N54="Moderado"),AND(J54="Muy Alta",N54="Mayor")),"Alto",IF(OR(AND(J54="Muy Baja",N54="Catastrófico"),AND(J54="Baja",N54="Catastrófico"),AND(J54="Media",N54="Catastrófico"),AND(J54="Alta",N54="Catastrófico"),AND(J54="Muy Alta",N54="Catastrófico")),"Extremo",""))))</f>
        <v>Extremo</v>
      </c>
      <c r="Q54" s="152">
        <v>1</v>
      </c>
      <c r="R54" s="186" t="s">
        <v>316</v>
      </c>
      <c r="S54" s="137" t="str">
        <f t="shared" ref="S54:S60" si="16">IF(OR(T54="Preventivo",T54="Detectivo"),"Probabilidad",IF(T54="Correctivo","Impacto",""))</f>
        <v>Impacto</v>
      </c>
      <c r="T54" s="138" t="s">
        <v>16</v>
      </c>
      <c r="U54" s="138" t="s">
        <v>9</v>
      </c>
      <c r="V54" s="139" t="str">
        <f t="shared" ref="V54:V60" si="17">IF(AND(T54="Preventivo",U54="Automático"),"50%",IF(AND(T54="Preventivo",U54="Manual"),"40%",IF(AND(T54="Detectivo",U54="Automático"),"40%",IF(AND(T54="Detectivo",U54="Manual"),"30%",IF(AND(T54="Correctivo",U54="Automático"),"35%",IF(AND(T54="Correctivo",U54="Manual"),"25%",""))))))</f>
        <v>25%</v>
      </c>
      <c r="W54" s="138" t="s">
        <v>19</v>
      </c>
      <c r="X54" s="138" t="s">
        <v>23</v>
      </c>
      <c r="Y54" s="138" t="s">
        <v>118</v>
      </c>
      <c r="Z54" s="158">
        <f t="shared" ref="Z54:Z60" si="18">IFERROR(IF(S54="Probabilidad",(K54-(+K54*V54)),IF(S54="Impacto",K54,"")),"")</f>
        <v>1</v>
      </c>
      <c r="AA54" s="140" t="str">
        <f t="shared" ref="AA54:AA60" si="19">IFERROR(IF(Z54="","",IF(Z54&lt;=0.2,"Muy Baja",IF(Z54&lt;=0.4,"Baja",IF(Z54&lt;=0.6,"Media",IF(Z54&lt;=0.8,"Alta","Muy Alta"))))),"")</f>
        <v>Muy Alta</v>
      </c>
      <c r="AB54" s="139">
        <f t="shared" ref="AB54:AB60" si="20">+Z54</f>
        <v>1</v>
      </c>
      <c r="AC54" s="140" t="str">
        <f t="shared" ref="AC54:AC60" si="21">IFERROR(IF(AD54="","",IF(AD54&lt;=0.2,"Leve",IF(AD54&lt;=0.4,"Menor",IF(AD54&lt;=0.6,"Moderado",IF(AD54&lt;=0.8,"Mayor","Catastrófico"))))),"")</f>
        <v>Mayor</v>
      </c>
      <c r="AD54" s="139">
        <f t="shared" ref="AD54:AD60" si="22">IFERROR(IF(S54="Impacto",(O54-(+O54*V54)),IF(S54="Probabilidad",O54,"")),"")</f>
        <v>0.75</v>
      </c>
      <c r="AE54" s="159" t="str">
        <f t="shared" ref="AE54:AE60" si="23">IFERROR(IF(OR(AND(AA54="Muy Baja",AC54="Leve"),AND(AA54="Muy Baja",AC54="Menor"),AND(AA54="Baja",AC54="Leve")),"Bajo",IF(OR(AND(AA54="Muy baja",AC54="Moderado"),AND(AA54="Baja",AC54="Menor"),AND(AA54="Baja",AC54="Moderado"),AND(AA54="Media",AC54="Leve"),AND(AA54="Media",AC54="Menor"),AND(AA54="Media",AC54="Moderado"),AND(AA54="Alta",AC54="Leve"),AND(AA54="Alta",AC54="Menor")),"Moderado",IF(OR(AND(AA54="Muy Baja",AC54="Mayor"),AND(AA54="Baja",AC54="Mayor"),AND(AA54="Media",AC54="Mayor"),AND(AA54="Alta",AC54="Moderado"),AND(AA54="Alta",AC54="Mayor"),AND(AA54="Muy Alta",AC54="Leve"),AND(AA54="Muy Alta",AC54="Menor"),AND(AA54="Muy Alta",AC54="Moderado"),AND(AA54="Muy Alta",AC54="Mayor")),"Alto",IF(OR(AND(AA54="Muy Baja",AC54="Catastrófico"),AND(AA54="Baja",AC54="Catastrófico"),AND(AA54="Media",AC54="Catastrófico"),AND(AA54="Alta",AC54="Catastrófico"),AND(AA54="Muy Alta",AC54="Catastrófico")),"Extremo","")))),"")</f>
        <v>Alto</v>
      </c>
      <c r="AF54" s="138" t="s">
        <v>134</v>
      </c>
      <c r="AG54" s="125" t="s">
        <v>318</v>
      </c>
      <c r="AH54" s="125" t="s">
        <v>319</v>
      </c>
      <c r="AI54" s="129">
        <v>45688</v>
      </c>
      <c r="AJ54" s="129">
        <v>46022</v>
      </c>
      <c r="AK54" s="182" t="s">
        <v>570</v>
      </c>
      <c r="AL54" s="126" t="s">
        <v>414</v>
      </c>
      <c r="AM54" s="187"/>
    </row>
    <row r="55" spans="1:39" s="20" customFormat="1" ht="66" x14ac:dyDescent="0.25">
      <c r="A55" s="298" t="s">
        <v>234</v>
      </c>
      <c r="B55" s="189" t="s">
        <v>235</v>
      </c>
      <c r="C55" s="252">
        <v>46</v>
      </c>
      <c r="D55" s="255" t="s">
        <v>479</v>
      </c>
      <c r="E55" s="258" t="s">
        <v>320</v>
      </c>
      <c r="F55" s="258" t="s">
        <v>321</v>
      </c>
      <c r="G55" s="273" t="s">
        <v>484</v>
      </c>
      <c r="H55" s="278" t="s">
        <v>122</v>
      </c>
      <c r="I55" s="126">
        <v>200</v>
      </c>
      <c r="J55" s="133" t="str">
        <f t="shared" si="11"/>
        <v>Media</v>
      </c>
      <c r="K55" s="134">
        <f t="shared" si="15"/>
        <v>0.6</v>
      </c>
      <c r="L55" s="135" t="s">
        <v>152</v>
      </c>
      <c r="M55" s="134" t="str">
        <f t="shared" si="14"/>
        <v xml:space="preserve">     El riesgo afecta la imagen de la entidad con algunos usuarios de relevancia frente al logro de los objetivos</v>
      </c>
      <c r="N55" s="281" t="str">
        <f>IF(OR(M55='Tabla Impacto'!$C$11,M55='Tabla Impacto'!$D$11),"Leve",IF(OR(M55='Tabla Impacto'!$C$12,M55='Tabla Impacto'!$D$12),"Menor",IF(OR(M55='Tabla Impacto'!$C$13,M55='Tabla Impacto'!$D$13),"Moderado",IF(OR(M55='Tabla Impacto'!$C$14,M55='Tabla Impacto'!$D$14),"Mayor",IF(OR(M55='Tabla Impacto'!$C$15,M55='Tabla Impacto'!$D$15),"Catastrófico","")))))</f>
        <v>Moderado</v>
      </c>
      <c r="O55" s="284">
        <f>IF(N55="","",IF(N55="Leve",0.2,IF(N55="Menor",0.4,IF(N55="Moderado",0.6,IF(N55="Mayor",0.8,IF(N55="Catastrófico",1,))))))</f>
        <v>0.6</v>
      </c>
      <c r="P55" s="290" t="str">
        <f>IF(OR(AND(J55="Muy Baja",N55="Leve"),AND(J55="Muy Baja",N55="Menor"),AND(J55="Baja",N55="Leve")),"Bajo",IF(OR(AND(J55="Muy baja",N55="Moderado"),AND(J55="Baja",N55="Menor"),AND(J55="Baja",N55="Moderado"),AND(J55="Media",N55="Leve"),AND(J55="Media",N55="Menor"),AND(J55="Media",N55="Moderado"),AND(J55="Alta",N55="Leve"),AND(J55="Alta",N55="Menor")),"Moderado",IF(OR(AND(J55="Muy Baja",N55="Mayor"),AND(J55="Baja",N55="Mayor"),AND(J55="Media",N55="Mayor"),AND(J55="Alta",N55="Moderado"),AND(J55="Alta",N55="Mayor"),AND(J55="Muy Alta",N55="Leve"),AND(J55="Muy Alta",N55="Menor"),AND(J55="Muy Alta",N55="Moderado"),AND(J55="Muy Alta",N55="Mayor")),"Alto",IF(OR(AND(J55="Muy Baja",N55="Catastrófico"),AND(J55="Baja",N55="Catastrófico"),AND(J55="Media",N55="Catastrófico"),AND(J55="Alta",N55="Catastrófico"),AND(J55="Muy Alta",N55="Catastrófico")),"Extremo",""))))</f>
        <v>Moderado</v>
      </c>
      <c r="Q55" s="196">
        <v>1</v>
      </c>
      <c r="R55" s="155" t="s">
        <v>322</v>
      </c>
      <c r="S55" s="137" t="str">
        <f t="shared" si="16"/>
        <v>Probabilidad</v>
      </c>
      <c r="T55" s="138" t="s">
        <v>15</v>
      </c>
      <c r="U55" s="138" t="s">
        <v>9</v>
      </c>
      <c r="V55" s="139" t="str">
        <f t="shared" si="17"/>
        <v>30%</v>
      </c>
      <c r="W55" s="138" t="s">
        <v>19</v>
      </c>
      <c r="X55" s="138" t="s">
        <v>22</v>
      </c>
      <c r="Y55" s="138" t="s">
        <v>118</v>
      </c>
      <c r="Z55" s="158">
        <f t="shared" si="18"/>
        <v>0.42</v>
      </c>
      <c r="AA55" s="140" t="str">
        <f t="shared" si="19"/>
        <v>Media</v>
      </c>
      <c r="AB55" s="139">
        <f t="shared" si="20"/>
        <v>0.42</v>
      </c>
      <c r="AC55" s="140" t="str">
        <f t="shared" si="21"/>
        <v>Moderado</v>
      </c>
      <c r="AD55" s="139">
        <f t="shared" si="22"/>
        <v>0.6</v>
      </c>
      <c r="AE55" s="159" t="str">
        <f t="shared" si="23"/>
        <v>Moderado</v>
      </c>
      <c r="AF55" s="287" t="s">
        <v>31</v>
      </c>
      <c r="AG55" s="125" t="s">
        <v>403</v>
      </c>
      <c r="AH55" s="126" t="s">
        <v>386</v>
      </c>
      <c r="AI55" s="129">
        <v>45688</v>
      </c>
      <c r="AJ55" s="129">
        <v>46022</v>
      </c>
      <c r="AK55" s="182" t="s">
        <v>534</v>
      </c>
      <c r="AL55" s="126" t="s">
        <v>414</v>
      </c>
      <c r="AM55" s="146"/>
    </row>
    <row r="56" spans="1:39" s="20" customFormat="1" ht="66" x14ac:dyDescent="0.25">
      <c r="A56" s="298"/>
      <c r="B56" s="189" t="s">
        <v>235</v>
      </c>
      <c r="C56" s="253"/>
      <c r="D56" s="256"/>
      <c r="E56" s="258"/>
      <c r="F56" s="258"/>
      <c r="G56" s="273"/>
      <c r="H56" s="279"/>
      <c r="I56" s="126">
        <v>200</v>
      </c>
      <c r="J56" s="133" t="str">
        <f t="shared" si="11"/>
        <v>Media</v>
      </c>
      <c r="K56" s="134">
        <f t="shared" si="15"/>
        <v>0.6</v>
      </c>
      <c r="L56" s="135" t="s">
        <v>152</v>
      </c>
      <c r="M56" s="134" t="str">
        <f t="shared" si="14"/>
        <v xml:space="preserve">     El riesgo afecta la imagen de la entidad con algunos usuarios de relevancia frente al logro de los objetivos</v>
      </c>
      <c r="N56" s="282"/>
      <c r="O56" s="285"/>
      <c r="P56" s="291"/>
      <c r="Q56" s="196">
        <v>2</v>
      </c>
      <c r="R56" s="157" t="s">
        <v>323</v>
      </c>
      <c r="S56" s="137" t="str">
        <f t="shared" si="16"/>
        <v>Impacto</v>
      </c>
      <c r="T56" s="138" t="s">
        <v>16</v>
      </c>
      <c r="U56" s="138" t="s">
        <v>9</v>
      </c>
      <c r="V56" s="139" t="str">
        <f t="shared" si="17"/>
        <v>25%</v>
      </c>
      <c r="W56" s="138" t="s">
        <v>19</v>
      </c>
      <c r="X56" s="138" t="s">
        <v>23</v>
      </c>
      <c r="Y56" s="138" t="s">
        <v>118</v>
      </c>
      <c r="Z56" s="158">
        <f t="shared" si="18"/>
        <v>0.6</v>
      </c>
      <c r="AA56" s="140" t="str">
        <f t="shared" si="19"/>
        <v>Media</v>
      </c>
      <c r="AB56" s="139">
        <f t="shared" si="20"/>
        <v>0.6</v>
      </c>
      <c r="AC56" s="140" t="str">
        <f t="shared" si="21"/>
        <v>Leve</v>
      </c>
      <c r="AD56" s="139">
        <f t="shared" si="22"/>
        <v>0</v>
      </c>
      <c r="AE56" s="159" t="str">
        <f t="shared" si="23"/>
        <v>Moderado</v>
      </c>
      <c r="AF56" s="288"/>
      <c r="AG56" s="125" t="s">
        <v>516</v>
      </c>
      <c r="AH56" s="126" t="s">
        <v>386</v>
      </c>
      <c r="AI56" s="129">
        <v>45688</v>
      </c>
      <c r="AJ56" s="129">
        <v>46022</v>
      </c>
      <c r="AK56" s="182" t="s">
        <v>586</v>
      </c>
      <c r="AL56" s="126" t="s">
        <v>414</v>
      </c>
    </row>
    <row r="57" spans="1:39" s="20" customFormat="1" ht="66" x14ac:dyDescent="0.25">
      <c r="A57" s="298"/>
      <c r="B57" s="189" t="s">
        <v>235</v>
      </c>
      <c r="C57" s="253"/>
      <c r="D57" s="256"/>
      <c r="E57" s="258"/>
      <c r="F57" s="258"/>
      <c r="G57" s="273"/>
      <c r="H57" s="279"/>
      <c r="I57" s="126">
        <v>200</v>
      </c>
      <c r="J57" s="133" t="str">
        <f t="shared" si="11"/>
        <v>Media</v>
      </c>
      <c r="K57" s="134">
        <f t="shared" si="15"/>
        <v>0.6</v>
      </c>
      <c r="L57" s="135" t="s">
        <v>152</v>
      </c>
      <c r="M57" s="134" t="str">
        <f t="shared" si="14"/>
        <v xml:space="preserve">     El riesgo afecta la imagen de la entidad con algunos usuarios de relevancia frente al logro de los objetivos</v>
      </c>
      <c r="N57" s="282"/>
      <c r="O57" s="285"/>
      <c r="P57" s="291"/>
      <c r="Q57" s="196">
        <v>3</v>
      </c>
      <c r="R57" s="157" t="s">
        <v>324</v>
      </c>
      <c r="S57" s="137" t="str">
        <f t="shared" si="16"/>
        <v>Probabilidad</v>
      </c>
      <c r="T57" s="138" t="s">
        <v>15</v>
      </c>
      <c r="U57" s="138" t="s">
        <v>9</v>
      </c>
      <c r="V57" s="139" t="str">
        <f t="shared" si="17"/>
        <v>30%</v>
      </c>
      <c r="W57" s="138" t="s">
        <v>19</v>
      </c>
      <c r="X57" s="138" t="s">
        <v>22</v>
      </c>
      <c r="Y57" s="138" t="s">
        <v>118</v>
      </c>
      <c r="Z57" s="158">
        <f t="shared" si="18"/>
        <v>0.42</v>
      </c>
      <c r="AA57" s="140" t="str">
        <f t="shared" si="19"/>
        <v>Media</v>
      </c>
      <c r="AB57" s="139">
        <f t="shared" si="20"/>
        <v>0.42</v>
      </c>
      <c r="AC57" s="140" t="str">
        <f t="shared" si="21"/>
        <v>Leve</v>
      </c>
      <c r="AD57" s="139">
        <f t="shared" si="22"/>
        <v>0</v>
      </c>
      <c r="AE57" s="159" t="str">
        <f t="shared" si="23"/>
        <v>Moderado</v>
      </c>
      <c r="AF57" s="288"/>
      <c r="AG57" s="125" t="s">
        <v>404</v>
      </c>
      <c r="AH57" s="126" t="s">
        <v>386</v>
      </c>
      <c r="AI57" s="129">
        <v>45688</v>
      </c>
      <c r="AJ57" s="129">
        <v>46022</v>
      </c>
      <c r="AK57" s="182" t="s">
        <v>587</v>
      </c>
      <c r="AL57" s="126" t="s">
        <v>414</v>
      </c>
      <c r="AM57" s="171"/>
    </row>
    <row r="58" spans="1:39" s="20" customFormat="1" ht="66" x14ac:dyDescent="0.25">
      <c r="A58" s="298"/>
      <c r="B58" s="189" t="s">
        <v>235</v>
      </c>
      <c r="C58" s="253"/>
      <c r="D58" s="256"/>
      <c r="E58" s="258"/>
      <c r="F58" s="258"/>
      <c r="G58" s="273"/>
      <c r="H58" s="279"/>
      <c r="I58" s="126">
        <v>200</v>
      </c>
      <c r="J58" s="133" t="str">
        <f t="shared" si="11"/>
        <v>Media</v>
      </c>
      <c r="K58" s="134">
        <f t="shared" si="15"/>
        <v>0.6</v>
      </c>
      <c r="L58" s="135" t="s">
        <v>152</v>
      </c>
      <c r="M58" s="134" t="str">
        <f t="shared" si="14"/>
        <v xml:space="preserve">     El riesgo afecta la imagen de la entidad con algunos usuarios de relevancia frente al logro de los objetivos</v>
      </c>
      <c r="N58" s="282"/>
      <c r="O58" s="285"/>
      <c r="P58" s="291"/>
      <c r="Q58" s="196">
        <v>4</v>
      </c>
      <c r="R58" s="157" t="s">
        <v>325</v>
      </c>
      <c r="S58" s="137" t="str">
        <f t="shared" si="16"/>
        <v>Impacto</v>
      </c>
      <c r="T58" s="138" t="s">
        <v>16</v>
      </c>
      <c r="U58" s="138" t="s">
        <v>9</v>
      </c>
      <c r="V58" s="139" t="str">
        <f t="shared" si="17"/>
        <v>25%</v>
      </c>
      <c r="W58" s="138" t="s">
        <v>19</v>
      </c>
      <c r="X58" s="138" t="s">
        <v>23</v>
      </c>
      <c r="Y58" s="138" t="s">
        <v>118</v>
      </c>
      <c r="Z58" s="158">
        <f t="shared" si="18"/>
        <v>0.6</v>
      </c>
      <c r="AA58" s="140" t="str">
        <f t="shared" si="19"/>
        <v>Media</v>
      </c>
      <c r="AB58" s="139">
        <f t="shared" si="20"/>
        <v>0.6</v>
      </c>
      <c r="AC58" s="140" t="str">
        <f t="shared" si="21"/>
        <v>Leve</v>
      </c>
      <c r="AD58" s="139">
        <f t="shared" si="22"/>
        <v>0</v>
      </c>
      <c r="AE58" s="159" t="str">
        <f t="shared" si="23"/>
        <v>Moderado</v>
      </c>
      <c r="AF58" s="288"/>
      <c r="AG58" s="125" t="s">
        <v>404</v>
      </c>
      <c r="AH58" s="126" t="s">
        <v>386</v>
      </c>
      <c r="AI58" s="129">
        <v>45688</v>
      </c>
      <c r="AJ58" s="129">
        <v>46022</v>
      </c>
      <c r="AK58" s="182" t="s">
        <v>588</v>
      </c>
      <c r="AL58" s="126" t="s">
        <v>414</v>
      </c>
    </row>
    <row r="59" spans="1:39" s="20" customFormat="1" ht="66" x14ac:dyDescent="0.25">
      <c r="A59" s="298"/>
      <c r="B59" s="189" t="s">
        <v>235</v>
      </c>
      <c r="C59" s="253"/>
      <c r="D59" s="256"/>
      <c r="E59" s="258"/>
      <c r="F59" s="258"/>
      <c r="G59" s="273"/>
      <c r="H59" s="279"/>
      <c r="I59" s="126">
        <v>200</v>
      </c>
      <c r="J59" s="133" t="str">
        <f t="shared" si="11"/>
        <v>Media</v>
      </c>
      <c r="K59" s="134">
        <f t="shared" si="15"/>
        <v>0.6</v>
      </c>
      <c r="L59" s="135" t="s">
        <v>152</v>
      </c>
      <c r="M59" s="134" t="str">
        <f t="shared" si="14"/>
        <v xml:space="preserve">     El riesgo afecta la imagen de la entidad con algunos usuarios de relevancia frente al logro de los objetivos</v>
      </c>
      <c r="N59" s="282"/>
      <c r="O59" s="285"/>
      <c r="P59" s="291"/>
      <c r="Q59" s="196">
        <v>5</v>
      </c>
      <c r="R59" s="147" t="s">
        <v>326</v>
      </c>
      <c r="S59" s="137" t="str">
        <f t="shared" si="16"/>
        <v>Probabilidad</v>
      </c>
      <c r="T59" s="138" t="s">
        <v>15</v>
      </c>
      <c r="U59" s="138" t="s">
        <v>9</v>
      </c>
      <c r="V59" s="139" t="str">
        <f t="shared" si="17"/>
        <v>30%</v>
      </c>
      <c r="W59" s="138" t="s">
        <v>19</v>
      </c>
      <c r="X59" s="138" t="s">
        <v>22</v>
      </c>
      <c r="Y59" s="138" t="s">
        <v>118</v>
      </c>
      <c r="Z59" s="158">
        <f t="shared" si="18"/>
        <v>0.42</v>
      </c>
      <c r="AA59" s="140" t="str">
        <f t="shared" si="19"/>
        <v>Media</v>
      </c>
      <c r="AB59" s="139">
        <f t="shared" si="20"/>
        <v>0.42</v>
      </c>
      <c r="AC59" s="140" t="str">
        <f t="shared" si="21"/>
        <v>Leve</v>
      </c>
      <c r="AD59" s="139">
        <f t="shared" si="22"/>
        <v>0</v>
      </c>
      <c r="AE59" s="159" t="str">
        <f t="shared" si="23"/>
        <v>Moderado</v>
      </c>
      <c r="AF59" s="288"/>
      <c r="AG59" s="125" t="s">
        <v>391</v>
      </c>
      <c r="AH59" s="126" t="s">
        <v>386</v>
      </c>
      <c r="AI59" s="129">
        <v>45688</v>
      </c>
      <c r="AJ59" s="129">
        <v>46022</v>
      </c>
      <c r="AK59" s="182" t="s">
        <v>587</v>
      </c>
      <c r="AL59" s="126" t="s">
        <v>414</v>
      </c>
    </row>
    <row r="60" spans="1:39" s="20" customFormat="1" ht="66" x14ac:dyDescent="0.25">
      <c r="A60" s="298"/>
      <c r="B60" s="189" t="s">
        <v>235</v>
      </c>
      <c r="C60" s="254"/>
      <c r="D60" s="257"/>
      <c r="E60" s="258"/>
      <c r="F60" s="258"/>
      <c r="G60" s="273"/>
      <c r="H60" s="280"/>
      <c r="I60" s="126">
        <v>200</v>
      </c>
      <c r="J60" s="133" t="str">
        <f t="shared" si="11"/>
        <v>Media</v>
      </c>
      <c r="K60" s="134">
        <f t="shared" si="15"/>
        <v>0.6</v>
      </c>
      <c r="L60" s="135" t="s">
        <v>152</v>
      </c>
      <c r="M60" s="134" t="str">
        <f t="shared" si="14"/>
        <v xml:space="preserve">     El riesgo afecta la imagen de la entidad con algunos usuarios de relevancia frente al logro de los objetivos</v>
      </c>
      <c r="N60" s="283"/>
      <c r="O60" s="286"/>
      <c r="P60" s="292"/>
      <c r="Q60" s="196">
        <v>6</v>
      </c>
      <c r="R60" s="148" t="s">
        <v>327</v>
      </c>
      <c r="S60" s="137" t="str">
        <f t="shared" si="16"/>
        <v>Probabilidad</v>
      </c>
      <c r="T60" s="138" t="s">
        <v>14</v>
      </c>
      <c r="U60" s="138" t="s">
        <v>9</v>
      </c>
      <c r="V60" s="139" t="str">
        <f t="shared" si="17"/>
        <v>40%</v>
      </c>
      <c r="W60" s="138" t="s">
        <v>19</v>
      </c>
      <c r="X60" s="138" t="s">
        <v>22</v>
      </c>
      <c r="Y60" s="138" t="s">
        <v>118</v>
      </c>
      <c r="Z60" s="158">
        <f t="shared" si="18"/>
        <v>0.36</v>
      </c>
      <c r="AA60" s="140" t="str">
        <f t="shared" si="19"/>
        <v>Baja</v>
      </c>
      <c r="AB60" s="139">
        <f t="shared" si="20"/>
        <v>0.36</v>
      </c>
      <c r="AC60" s="140" t="str">
        <f t="shared" si="21"/>
        <v>Leve</v>
      </c>
      <c r="AD60" s="139">
        <f t="shared" si="22"/>
        <v>0</v>
      </c>
      <c r="AE60" s="159" t="str">
        <f t="shared" si="23"/>
        <v>Bajo</v>
      </c>
      <c r="AF60" s="289"/>
      <c r="AG60" s="125" t="s">
        <v>517</v>
      </c>
      <c r="AH60" s="126" t="s">
        <v>386</v>
      </c>
      <c r="AI60" s="129">
        <v>45688</v>
      </c>
      <c r="AJ60" s="129">
        <v>46022</v>
      </c>
      <c r="AK60" s="182" t="s">
        <v>585</v>
      </c>
      <c r="AL60" s="126" t="s">
        <v>414</v>
      </c>
    </row>
    <row r="61" spans="1:39" x14ac:dyDescent="0.25">
      <c r="C61" s="114"/>
      <c r="D61" s="274" t="s">
        <v>129</v>
      </c>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6"/>
    </row>
    <row r="62" spans="1:39" x14ac:dyDescent="0.25">
      <c r="D62" s="18" t="s">
        <v>141</v>
      </c>
      <c r="E62" s="164"/>
      <c r="F62" s="164"/>
    </row>
  </sheetData>
  <dataConsolidate/>
  <mergeCells count="67">
    <mergeCell ref="A39:A45"/>
    <mergeCell ref="A33:A38"/>
    <mergeCell ref="A47:A49"/>
    <mergeCell ref="A53:A54"/>
    <mergeCell ref="A55:A60"/>
    <mergeCell ref="A50:A51"/>
    <mergeCell ref="G55:G60"/>
    <mergeCell ref="D61:AL61"/>
    <mergeCell ref="M32:M34"/>
    <mergeCell ref="H55:H60"/>
    <mergeCell ref="N55:N60"/>
    <mergeCell ref="O55:O60"/>
    <mergeCell ref="AF55:AF60"/>
    <mergeCell ref="P55:P60"/>
    <mergeCell ref="AK7:AK8"/>
    <mergeCell ref="AJ7:AJ8"/>
    <mergeCell ref="AI7:AI8"/>
    <mergeCell ref="I7:I8"/>
    <mergeCell ref="AF7:AF8"/>
    <mergeCell ref="N7:N8"/>
    <mergeCell ref="O7:O8"/>
    <mergeCell ref="P7:P8"/>
    <mergeCell ref="L7:L8"/>
    <mergeCell ref="M7:M8"/>
    <mergeCell ref="Q7:Q8"/>
    <mergeCell ref="AE7:AE8"/>
    <mergeCell ref="J7:J8"/>
    <mergeCell ref="K7:K8"/>
    <mergeCell ref="R7:R8"/>
    <mergeCell ref="A9:A18"/>
    <mergeCell ref="A23:A24"/>
    <mergeCell ref="AC7:AC8"/>
    <mergeCell ref="A27:A32"/>
    <mergeCell ref="A6:A8"/>
    <mergeCell ref="B6:B8"/>
    <mergeCell ref="C7:C8"/>
    <mergeCell ref="H7:H8"/>
    <mergeCell ref="G7:G8"/>
    <mergeCell ref="A20:A21"/>
    <mergeCell ref="AI1:AL1"/>
    <mergeCell ref="AI2:AL2"/>
    <mergeCell ref="AI3:AL3"/>
    <mergeCell ref="AI4:AL4"/>
    <mergeCell ref="C55:C60"/>
    <mergeCell ref="D55:D60"/>
    <mergeCell ref="E55:E60"/>
    <mergeCell ref="F55:F60"/>
    <mergeCell ref="AH7:AH8"/>
    <mergeCell ref="C6:I6"/>
    <mergeCell ref="Q6:Y6"/>
    <mergeCell ref="Z6:AF6"/>
    <mergeCell ref="AG6:AL6"/>
    <mergeCell ref="AG7:AG8"/>
    <mergeCell ref="AL7:AL8"/>
    <mergeCell ref="F7:F8"/>
    <mergeCell ref="A1:A4"/>
    <mergeCell ref="B1:AH2"/>
    <mergeCell ref="B3:AH4"/>
    <mergeCell ref="AA7:AA8"/>
    <mergeCell ref="AB7:AB8"/>
    <mergeCell ref="T7:Y7"/>
    <mergeCell ref="S7:S8"/>
    <mergeCell ref="AD7:AD8"/>
    <mergeCell ref="Z7:Z8"/>
    <mergeCell ref="J6:P6"/>
    <mergeCell ref="E7:E8"/>
    <mergeCell ref="D7:D8"/>
  </mergeCells>
  <conditionalFormatting sqref="J9:J60 AA9:AA60">
    <cfRule type="cellIs" dxfId="14" priority="343" operator="equal">
      <formula>"Muy Alta"</formula>
    </cfRule>
    <cfRule type="cellIs" dxfId="13" priority="344" operator="equal">
      <formula>"Alta"</formula>
    </cfRule>
    <cfRule type="cellIs" dxfId="12" priority="345" operator="equal">
      <formula>"Media"</formula>
    </cfRule>
    <cfRule type="cellIs" dxfId="11" priority="346" operator="equal">
      <formula>"Baja"</formula>
    </cfRule>
    <cfRule type="cellIs" dxfId="10" priority="347" operator="equal">
      <formula>"Muy Baja"</formula>
    </cfRule>
  </conditionalFormatting>
  <conditionalFormatting sqref="M9:M60">
    <cfRule type="containsText" dxfId="9" priority="25" operator="containsText" text="❌">
      <formula>NOT(ISERROR(SEARCH("❌",M9)))</formula>
    </cfRule>
  </conditionalFormatting>
  <conditionalFormatting sqref="N9:N55 AC9:AC60">
    <cfRule type="cellIs" dxfId="8" priority="20" operator="equal">
      <formula>"Catastrófico"</formula>
    </cfRule>
    <cfRule type="cellIs" dxfId="7" priority="21" operator="equal">
      <formula>"Mayor"</formula>
    </cfRule>
    <cfRule type="cellIs" dxfId="6" priority="22" operator="equal">
      <formula>"Moderado"</formula>
    </cfRule>
    <cfRule type="cellIs" dxfId="5" priority="23" operator="equal">
      <formula>"Menor"</formula>
    </cfRule>
    <cfRule type="cellIs" dxfId="4" priority="24" operator="equal">
      <formula>"Leve"</formula>
    </cfRule>
  </conditionalFormatting>
  <conditionalFormatting sqref="P9:P55 AE9:AE60">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DEA1-249A-E24B-9531-DC5FA456DA28}">
  <dimension ref="A1:E11"/>
  <sheetViews>
    <sheetView workbookViewId="0">
      <selection activeCell="D14" sqref="D14"/>
    </sheetView>
  </sheetViews>
  <sheetFormatPr baseColWidth="10" defaultColWidth="11.42578125" defaultRowHeight="15" x14ac:dyDescent="0.25"/>
  <cols>
    <col min="1" max="1" width="10.140625" style="117" customWidth="1"/>
    <col min="2" max="2" width="18.42578125" style="117" customWidth="1"/>
    <col min="3" max="3" width="19" style="117" customWidth="1"/>
    <col min="4" max="4" width="23.28515625" style="117" customWidth="1"/>
    <col min="5" max="5" width="17" style="117" customWidth="1"/>
    <col min="6" max="16384" width="11.42578125" style="117"/>
  </cols>
  <sheetData>
    <row r="1" spans="1:5" ht="24" x14ac:dyDescent="0.25">
      <c r="A1" s="299"/>
      <c r="B1" s="302" t="s">
        <v>371</v>
      </c>
      <c r="C1" s="302"/>
      <c r="D1" s="302"/>
      <c r="E1" s="116" t="s">
        <v>377</v>
      </c>
    </row>
    <row r="2" spans="1:5" ht="18" customHeight="1" x14ac:dyDescent="0.25">
      <c r="A2" s="300"/>
      <c r="B2" s="302"/>
      <c r="C2" s="302"/>
      <c r="D2" s="302"/>
      <c r="E2" s="118" t="s">
        <v>378</v>
      </c>
    </row>
    <row r="3" spans="1:5" ht="18" customHeight="1" x14ac:dyDescent="0.25">
      <c r="A3" s="300"/>
      <c r="B3" s="303" t="s">
        <v>372</v>
      </c>
      <c r="C3" s="303"/>
      <c r="D3" s="303"/>
      <c r="E3" s="118" t="s">
        <v>375</v>
      </c>
    </row>
    <row r="4" spans="1:5" ht="18" customHeight="1" x14ac:dyDescent="0.25">
      <c r="A4" s="301"/>
      <c r="B4" s="303"/>
      <c r="C4" s="303"/>
      <c r="D4" s="303"/>
      <c r="E4" s="118" t="s">
        <v>376</v>
      </c>
    </row>
    <row r="7" spans="1:5" s="120" customFormat="1" ht="22.5" x14ac:dyDescent="0.2">
      <c r="A7" s="119" t="s">
        <v>379</v>
      </c>
      <c r="B7" s="119" t="s">
        <v>380</v>
      </c>
      <c r="C7" s="119" t="s">
        <v>381</v>
      </c>
      <c r="D7" s="304" t="s">
        <v>382</v>
      </c>
      <c r="E7" s="304"/>
    </row>
    <row r="8" spans="1:5" s="120" customFormat="1" ht="11.25" x14ac:dyDescent="0.2">
      <c r="A8" s="121" t="s">
        <v>383</v>
      </c>
      <c r="B8" s="122" t="s">
        <v>384</v>
      </c>
      <c r="C8" s="122" t="s">
        <v>384</v>
      </c>
      <c r="D8" s="305" t="s">
        <v>385</v>
      </c>
      <c r="E8" s="305"/>
    </row>
    <row r="9" spans="1:5" ht="15" customHeight="1" x14ac:dyDescent="0.25">
      <c r="A9" s="123"/>
      <c r="B9" s="123"/>
      <c r="C9" s="123"/>
      <c r="D9" s="123"/>
      <c r="E9" s="123"/>
    </row>
    <row r="10" spans="1:5" x14ac:dyDescent="0.25">
      <c r="A10" s="123"/>
      <c r="B10" s="123"/>
      <c r="C10" s="123"/>
      <c r="D10" s="123"/>
      <c r="E10" s="123"/>
    </row>
    <row r="11" spans="1:5" x14ac:dyDescent="0.25">
      <c r="A11" s="123"/>
      <c r="B11" s="123"/>
      <c r="C11" s="123"/>
      <c r="D11" s="123"/>
      <c r="E11" s="123"/>
    </row>
  </sheetData>
  <mergeCells count="5">
    <mergeCell ref="A1:A4"/>
    <mergeCell ref="B1:D2"/>
    <mergeCell ref="B3:D4"/>
    <mergeCell ref="D7:E7"/>
    <mergeCell ref="D8:E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67EAD-F816-6446-9C41-6AD024DE3E67}">
  <dimension ref="A1:CU140"/>
  <sheetViews>
    <sheetView zoomScale="50" zoomScaleNormal="50" workbookViewId="0">
      <selection activeCell="N6" sqref="N6:O7"/>
    </sheetView>
  </sheetViews>
  <sheetFormatPr baseColWidth="10" defaultRowHeight="15" x14ac:dyDescent="0.25"/>
  <cols>
    <col min="2" max="9" width="5.7109375" customWidth="1"/>
    <col min="10" max="39" width="14.7109375" customWidth="1"/>
    <col min="41" max="46" width="5.7109375" customWidth="1"/>
  </cols>
  <sheetData>
    <row r="1" spans="1:99" x14ac:dyDescent="0.25">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row>
    <row r="2" spans="1:99" ht="18" customHeight="1" x14ac:dyDescent="0.25">
      <c r="A2" s="74"/>
      <c r="B2" s="391" t="s">
        <v>158</v>
      </c>
      <c r="C2" s="391"/>
      <c r="D2" s="391"/>
      <c r="E2" s="391"/>
      <c r="F2" s="391"/>
      <c r="G2" s="391"/>
      <c r="H2" s="391"/>
      <c r="I2" s="391"/>
      <c r="J2" s="368" t="s">
        <v>2</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row>
    <row r="3" spans="1:99" ht="18.75" customHeight="1" x14ac:dyDescent="0.25">
      <c r="A3" s="74"/>
      <c r="B3" s="391"/>
      <c r="C3" s="391"/>
      <c r="D3" s="391"/>
      <c r="E3" s="391"/>
      <c r="F3" s="391"/>
      <c r="G3" s="391"/>
      <c r="H3" s="391"/>
      <c r="I3" s="391"/>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row>
    <row r="4" spans="1:99" ht="15" customHeight="1" x14ac:dyDescent="0.25">
      <c r="A4" s="74"/>
      <c r="B4" s="391"/>
      <c r="C4" s="391"/>
      <c r="D4" s="391"/>
      <c r="E4" s="391"/>
      <c r="F4" s="391"/>
      <c r="G4" s="391"/>
      <c r="H4" s="391"/>
      <c r="I4" s="391"/>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row>
    <row r="5" spans="1:99" ht="15.75" thickBot="1" x14ac:dyDescent="0.3">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row>
    <row r="6" spans="1:99" ht="15" customHeight="1" x14ac:dyDescent="0.25">
      <c r="A6" s="74"/>
      <c r="B6" s="306" t="s">
        <v>4</v>
      </c>
      <c r="C6" s="306"/>
      <c r="D6" s="307"/>
      <c r="E6" s="344" t="s">
        <v>115</v>
      </c>
      <c r="F6" s="345"/>
      <c r="G6" s="345"/>
      <c r="H6" s="345"/>
      <c r="I6" s="346"/>
      <c r="J6" s="353" t="str">
        <f>IF(AND('Mapa final'!$J$9="Muy Alta",'Mapa final'!$N$9="Leve"),CONCATENATE("R",'Mapa final'!$C$9),"")</f>
        <v/>
      </c>
      <c r="K6" s="354"/>
      <c r="L6" s="354" t="str">
        <f>IF(AND('Mapa final'!$J$15="Muy Alta",'Mapa final'!$N$15="Leve"),CONCATENATE("R",'Mapa final'!$C$15),"")</f>
        <v/>
      </c>
      <c r="M6" s="354"/>
      <c r="N6" s="354" t="e">
        <f>IF(AND('Mapa final'!#REF!="Muy Alta",'Mapa final'!#REF!="Leve"),CONCATENATE("R",'Mapa final'!#REF!),"")</f>
        <v>#REF!</v>
      </c>
      <c r="O6" s="357"/>
      <c r="P6" s="353" t="str">
        <f>IF(AND('Mapa final'!$J$9="Muy Alta",'Mapa final'!$N$9="Menor"),CONCATENATE("R",'Mapa final'!$C$9),"")</f>
        <v/>
      </c>
      <c r="Q6" s="354"/>
      <c r="R6" s="354" t="str">
        <f>IF(AND('Mapa final'!$J$15="Muy Alta",'Mapa final'!$N$15="Menor"),CONCATENATE("R",'Mapa final'!$C$15),"")</f>
        <v/>
      </c>
      <c r="S6" s="354"/>
      <c r="T6" s="354" t="e">
        <f>IF(AND('Mapa final'!#REF!="Muy Alta",'Mapa final'!#REF!="Menor"),CONCATENATE("R",'Mapa final'!#REF!),"")</f>
        <v>#REF!</v>
      </c>
      <c r="U6" s="357"/>
      <c r="V6" s="353" t="str">
        <f>IF(AND('Mapa final'!$J$9="Muy Alta",'Mapa final'!$N$9="Moderado"),CONCATENATE("R",'Mapa final'!$C$9),"")</f>
        <v/>
      </c>
      <c r="W6" s="354"/>
      <c r="X6" s="354" t="str">
        <f>IF(AND('Mapa final'!$J$15="Muy Alta",'Mapa final'!$N$15="Moderado"),CONCATENATE("R",'Mapa final'!$C$15),"")</f>
        <v/>
      </c>
      <c r="Y6" s="354"/>
      <c r="Z6" s="354" t="e">
        <f>IF(AND('Mapa final'!#REF!="Muy Alta",'Mapa final'!#REF!="Moderado"),CONCATENATE("R",'Mapa final'!#REF!),"")</f>
        <v>#REF!</v>
      </c>
      <c r="AA6" s="357"/>
      <c r="AB6" s="353" t="str">
        <f>IF(AND('Mapa final'!$J$9="Muy Alta",'Mapa final'!$N$9="Mayor"),CONCATENATE("R",'Mapa final'!$C$9),"")</f>
        <v/>
      </c>
      <c r="AC6" s="354"/>
      <c r="AD6" s="354" t="str">
        <f>IF(AND('Mapa final'!$J$15="Muy Alta",'Mapa final'!$N$15="Mayor"),CONCATENATE("R",'Mapa final'!$C$15),"")</f>
        <v/>
      </c>
      <c r="AE6" s="354"/>
      <c r="AF6" s="354" t="e">
        <f>IF(AND('Mapa final'!#REF!="Muy Alta",'Mapa final'!#REF!="Mayor"),CONCATENATE("R",'Mapa final'!#REF!),"")</f>
        <v>#REF!</v>
      </c>
      <c r="AG6" s="357"/>
      <c r="AH6" s="379" t="str">
        <f>IF(AND('Mapa final'!$J$9="Muy Alta",'Mapa final'!$N$9="Catastrófico"),CONCATENATE("R",'Mapa final'!$C$9),"")</f>
        <v/>
      </c>
      <c r="AI6" s="380"/>
      <c r="AJ6" s="380" t="str">
        <f>IF(AND('Mapa final'!$J$15="Muy Alta",'Mapa final'!$N$15="Catastrófico"),CONCATENATE("R",'Mapa final'!$C$15),"")</f>
        <v/>
      </c>
      <c r="AK6" s="380"/>
      <c r="AL6" s="380" t="e">
        <f>IF(AND('Mapa final'!#REF!="Muy Alta",'Mapa final'!#REF!="Catastrófico"),CONCATENATE("R",'Mapa final'!#REF!),"")</f>
        <v>#REF!</v>
      </c>
      <c r="AM6" s="381"/>
      <c r="AO6" s="308" t="s">
        <v>78</v>
      </c>
      <c r="AP6" s="309"/>
      <c r="AQ6" s="309"/>
      <c r="AR6" s="309"/>
      <c r="AS6" s="309"/>
      <c r="AT6" s="310"/>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row>
    <row r="7" spans="1:99" ht="15" customHeight="1" x14ac:dyDescent="0.25">
      <c r="A7" s="74"/>
      <c r="B7" s="306"/>
      <c r="C7" s="306"/>
      <c r="D7" s="307"/>
      <c r="E7" s="347"/>
      <c r="F7" s="348"/>
      <c r="G7" s="348"/>
      <c r="H7" s="348"/>
      <c r="I7" s="349"/>
      <c r="J7" s="355"/>
      <c r="K7" s="356"/>
      <c r="L7" s="356"/>
      <c r="M7" s="356"/>
      <c r="N7" s="356"/>
      <c r="O7" s="358"/>
      <c r="P7" s="355"/>
      <c r="Q7" s="356"/>
      <c r="R7" s="356"/>
      <c r="S7" s="356"/>
      <c r="T7" s="356"/>
      <c r="U7" s="358"/>
      <c r="V7" s="355"/>
      <c r="W7" s="356"/>
      <c r="X7" s="356"/>
      <c r="Y7" s="356"/>
      <c r="Z7" s="356"/>
      <c r="AA7" s="358"/>
      <c r="AB7" s="355"/>
      <c r="AC7" s="356"/>
      <c r="AD7" s="356"/>
      <c r="AE7" s="356"/>
      <c r="AF7" s="356"/>
      <c r="AG7" s="358"/>
      <c r="AH7" s="373"/>
      <c r="AI7" s="374"/>
      <c r="AJ7" s="374"/>
      <c r="AK7" s="374"/>
      <c r="AL7" s="374"/>
      <c r="AM7" s="375"/>
      <c r="AN7" s="74"/>
      <c r="AO7" s="311"/>
      <c r="AP7" s="312"/>
      <c r="AQ7" s="312"/>
      <c r="AR7" s="312"/>
      <c r="AS7" s="312"/>
      <c r="AT7" s="313"/>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row>
    <row r="8" spans="1:99" ht="15" customHeight="1" x14ac:dyDescent="0.25">
      <c r="A8" s="74"/>
      <c r="B8" s="306"/>
      <c r="C8" s="306"/>
      <c r="D8" s="307"/>
      <c r="E8" s="347"/>
      <c r="F8" s="348"/>
      <c r="G8" s="348"/>
      <c r="H8" s="348"/>
      <c r="I8" s="349"/>
      <c r="J8" s="355" t="e">
        <f>IF(AND('Mapa final'!#REF!="Muy Alta",'Mapa final'!#REF!="Leve"),CONCATENATE("R",'Mapa final'!#REF!),"")</f>
        <v>#REF!</v>
      </c>
      <c r="K8" s="356"/>
      <c r="L8" s="356" t="e">
        <f>IF(AND('Mapa final'!#REF!="Muy Alta",'Mapa final'!#REF!="Leve"),CONCATENATE("R",'Mapa final'!#REF!),"")</f>
        <v>#REF!</v>
      </c>
      <c r="M8" s="356"/>
      <c r="N8" s="356" t="str">
        <f>IF(AND('Mapa final'!$J$32="Muy Alta",'Mapa final'!$N$32="Leve"),CONCATENATE("R",'Mapa final'!$C$32),"")</f>
        <v/>
      </c>
      <c r="O8" s="358"/>
      <c r="P8" s="355" t="e">
        <f>IF(AND('Mapa final'!#REF!="Muy Alta",'Mapa final'!#REF!="Menor"),CONCATENATE("R",'Mapa final'!#REF!),"")</f>
        <v>#REF!</v>
      </c>
      <c r="Q8" s="356"/>
      <c r="R8" s="356" t="e">
        <f>IF(AND('Mapa final'!#REF!="Muy Alta",'Mapa final'!#REF!="Menor"),CONCATENATE("R",'Mapa final'!#REF!),"")</f>
        <v>#REF!</v>
      </c>
      <c r="S8" s="356"/>
      <c r="T8" s="356" t="str">
        <f>IF(AND('Mapa final'!$J$32="Muy Alta",'Mapa final'!$N$32="Menor"),CONCATENATE("R",'Mapa final'!$C$32),"")</f>
        <v/>
      </c>
      <c r="U8" s="358"/>
      <c r="V8" s="355" t="e">
        <f>IF(AND('Mapa final'!#REF!="Muy Alta",'Mapa final'!#REF!="Moderado"),CONCATENATE("R",'Mapa final'!#REF!),"")</f>
        <v>#REF!</v>
      </c>
      <c r="W8" s="356"/>
      <c r="X8" s="356" t="e">
        <f>IF(AND('Mapa final'!#REF!="Muy Alta",'Mapa final'!#REF!="Moderado"),CONCATENATE("R",'Mapa final'!#REF!),"")</f>
        <v>#REF!</v>
      </c>
      <c r="Y8" s="356"/>
      <c r="Z8" s="356" t="str">
        <f>IF(AND('Mapa final'!$J$32="Muy Alta",'Mapa final'!$N$32="Moderado"),CONCATENATE("R",'Mapa final'!$C$32),"")</f>
        <v/>
      </c>
      <c r="AA8" s="358"/>
      <c r="AB8" s="355" t="e">
        <f>IF(AND('Mapa final'!#REF!="Muy Alta",'Mapa final'!#REF!="Mayor"),CONCATENATE("R",'Mapa final'!#REF!),"")</f>
        <v>#REF!</v>
      </c>
      <c r="AC8" s="356"/>
      <c r="AD8" s="356" t="e">
        <f>IF(AND('Mapa final'!#REF!="Muy Alta",'Mapa final'!#REF!="Mayor"),CONCATENATE("R",'Mapa final'!#REF!),"")</f>
        <v>#REF!</v>
      </c>
      <c r="AE8" s="356"/>
      <c r="AF8" s="356" t="str">
        <f>IF(AND('Mapa final'!$J$32="Muy Alta",'Mapa final'!$N$32="Mayor"),CONCATENATE("R",'Mapa final'!$C$32),"")</f>
        <v/>
      </c>
      <c r="AG8" s="358"/>
      <c r="AH8" s="373" t="e">
        <f>IF(AND('Mapa final'!#REF!="Muy Alta",'Mapa final'!#REF!="Catastrófico"),CONCATENATE("R",'Mapa final'!#REF!),"")</f>
        <v>#REF!</v>
      </c>
      <c r="AI8" s="374"/>
      <c r="AJ8" s="374" t="e">
        <f>IF(AND('Mapa final'!#REF!="Muy Alta",'Mapa final'!#REF!="Catastrófico"),CONCATENATE("R",'Mapa final'!#REF!),"")</f>
        <v>#REF!</v>
      </c>
      <c r="AK8" s="374"/>
      <c r="AL8" s="374" t="str">
        <f>IF(AND('Mapa final'!$J$32="Muy Alta",'Mapa final'!$N$32="Catastrófico"),CONCATENATE("R",'Mapa final'!$C$32),"")</f>
        <v/>
      </c>
      <c r="AM8" s="375"/>
      <c r="AN8" s="74"/>
      <c r="AO8" s="311"/>
      <c r="AP8" s="312"/>
      <c r="AQ8" s="312"/>
      <c r="AR8" s="312"/>
      <c r="AS8" s="312"/>
      <c r="AT8" s="313"/>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row>
    <row r="9" spans="1:99" ht="15" customHeight="1" x14ac:dyDescent="0.25">
      <c r="A9" s="74"/>
      <c r="B9" s="306"/>
      <c r="C9" s="306"/>
      <c r="D9" s="307"/>
      <c r="E9" s="347"/>
      <c r="F9" s="348"/>
      <c r="G9" s="348"/>
      <c r="H9" s="348"/>
      <c r="I9" s="349"/>
      <c r="J9" s="355"/>
      <c r="K9" s="356"/>
      <c r="L9" s="356"/>
      <c r="M9" s="356"/>
      <c r="N9" s="356"/>
      <c r="O9" s="358"/>
      <c r="P9" s="355"/>
      <c r="Q9" s="356"/>
      <c r="R9" s="356"/>
      <c r="S9" s="356"/>
      <c r="T9" s="356"/>
      <c r="U9" s="358"/>
      <c r="V9" s="355"/>
      <c r="W9" s="356"/>
      <c r="X9" s="356"/>
      <c r="Y9" s="356"/>
      <c r="Z9" s="356"/>
      <c r="AA9" s="358"/>
      <c r="AB9" s="355"/>
      <c r="AC9" s="356"/>
      <c r="AD9" s="356"/>
      <c r="AE9" s="356"/>
      <c r="AF9" s="356"/>
      <c r="AG9" s="358"/>
      <c r="AH9" s="373"/>
      <c r="AI9" s="374"/>
      <c r="AJ9" s="374"/>
      <c r="AK9" s="374"/>
      <c r="AL9" s="374"/>
      <c r="AM9" s="375"/>
      <c r="AN9" s="74"/>
      <c r="AO9" s="311"/>
      <c r="AP9" s="312"/>
      <c r="AQ9" s="312"/>
      <c r="AR9" s="312"/>
      <c r="AS9" s="312"/>
      <c r="AT9" s="313"/>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row>
    <row r="10" spans="1:99" ht="15" customHeight="1" x14ac:dyDescent="0.25">
      <c r="A10" s="74"/>
      <c r="B10" s="306"/>
      <c r="C10" s="306"/>
      <c r="D10" s="307"/>
      <c r="E10" s="347"/>
      <c r="F10" s="348"/>
      <c r="G10" s="348"/>
      <c r="H10" s="348"/>
      <c r="I10" s="349"/>
      <c r="J10" s="355" t="e">
        <f>IF(AND('Mapa final'!#REF!="Muy Alta",'Mapa final'!#REF!="Leve"),CONCATENATE("R",'Mapa final'!#REF!),"")</f>
        <v>#REF!</v>
      </c>
      <c r="K10" s="356"/>
      <c r="L10" s="356" t="e">
        <f>IF(AND('Mapa final'!#REF!="Muy Alta",'Mapa final'!#REF!="Leve"),CONCATENATE("R",'Mapa final'!#REF!),"")</f>
        <v>#REF!</v>
      </c>
      <c r="M10" s="356"/>
      <c r="N10" s="356" t="str">
        <f>IF(AND('Mapa final'!$J$42="Muy Alta",'Mapa final'!$N$42="Leve"),CONCATENATE("R",'Mapa final'!$C$42),"")</f>
        <v/>
      </c>
      <c r="O10" s="358"/>
      <c r="P10" s="355" t="e">
        <f>IF(AND('Mapa final'!#REF!="Muy Alta",'Mapa final'!#REF!="Menor"),CONCATENATE("R",'Mapa final'!#REF!),"")</f>
        <v>#REF!</v>
      </c>
      <c r="Q10" s="356"/>
      <c r="R10" s="356" t="e">
        <f>IF(AND('Mapa final'!#REF!="Muy Alta",'Mapa final'!#REF!="Menor"),CONCATENATE("R",'Mapa final'!#REF!),"")</f>
        <v>#REF!</v>
      </c>
      <c r="S10" s="356"/>
      <c r="T10" s="356" t="str">
        <f>IF(AND('Mapa final'!$J$42="Muy Alta",'Mapa final'!$N$42="Menor"),CONCATENATE("R",'Mapa final'!$C$42),"")</f>
        <v/>
      </c>
      <c r="U10" s="358"/>
      <c r="V10" s="355" t="e">
        <f>IF(AND('Mapa final'!#REF!="Muy Alta",'Mapa final'!#REF!="Moderado"),CONCATENATE("R",'Mapa final'!#REF!),"")</f>
        <v>#REF!</v>
      </c>
      <c r="W10" s="356"/>
      <c r="X10" s="356" t="e">
        <f>IF(AND('Mapa final'!#REF!="Muy Alta",'Mapa final'!#REF!="Moderado"),CONCATENATE("R",'Mapa final'!#REF!),"")</f>
        <v>#REF!</v>
      </c>
      <c r="Y10" s="356"/>
      <c r="Z10" s="356" t="str">
        <f>IF(AND('Mapa final'!$J$42="Muy Alta",'Mapa final'!$N$42="Moderado"),CONCATENATE("R",'Mapa final'!$C$42),"")</f>
        <v/>
      </c>
      <c r="AA10" s="358"/>
      <c r="AB10" s="355" t="e">
        <f>IF(AND('Mapa final'!#REF!="Muy Alta",'Mapa final'!#REF!="Mayor"),CONCATENATE("R",'Mapa final'!#REF!),"")</f>
        <v>#REF!</v>
      </c>
      <c r="AC10" s="356"/>
      <c r="AD10" s="356" t="e">
        <f>IF(AND('Mapa final'!#REF!="Muy Alta",'Mapa final'!#REF!="Mayor"),CONCATENATE("R",'Mapa final'!#REF!),"")</f>
        <v>#REF!</v>
      </c>
      <c r="AE10" s="356"/>
      <c r="AF10" s="356" t="str">
        <f>IF(AND('Mapa final'!$J$42="Muy Alta",'Mapa final'!$N$42="Mayor"),CONCATENATE("R",'Mapa final'!$C$42),"")</f>
        <v/>
      </c>
      <c r="AG10" s="358"/>
      <c r="AH10" s="373" t="e">
        <f>IF(AND('Mapa final'!#REF!="Muy Alta",'Mapa final'!#REF!="Catastrófico"),CONCATENATE("R",'Mapa final'!#REF!),"")</f>
        <v>#REF!</v>
      </c>
      <c r="AI10" s="374"/>
      <c r="AJ10" s="374" t="e">
        <f>IF(AND('Mapa final'!#REF!="Muy Alta",'Mapa final'!#REF!="Catastrófico"),CONCATENATE("R",'Mapa final'!#REF!),"")</f>
        <v>#REF!</v>
      </c>
      <c r="AK10" s="374"/>
      <c r="AL10" s="374" t="str">
        <f>IF(AND('Mapa final'!$J$42="Muy Alta",'Mapa final'!$N$42="Catastrófico"),CONCATENATE("R",'Mapa final'!$C$42),"")</f>
        <v/>
      </c>
      <c r="AM10" s="375"/>
      <c r="AN10" s="74"/>
      <c r="AO10" s="311"/>
      <c r="AP10" s="312"/>
      <c r="AQ10" s="312"/>
      <c r="AR10" s="312"/>
      <c r="AS10" s="312"/>
      <c r="AT10" s="313"/>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row>
    <row r="11" spans="1:99" ht="15" customHeight="1" x14ac:dyDescent="0.25">
      <c r="A11" s="74"/>
      <c r="B11" s="306"/>
      <c r="C11" s="306"/>
      <c r="D11" s="307"/>
      <c r="E11" s="347"/>
      <c r="F11" s="348"/>
      <c r="G11" s="348"/>
      <c r="H11" s="348"/>
      <c r="I11" s="349"/>
      <c r="J11" s="355"/>
      <c r="K11" s="356"/>
      <c r="L11" s="356"/>
      <c r="M11" s="356"/>
      <c r="N11" s="356"/>
      <c r="O11" s="358"/>
      <c r="P11" s="355"/>
      <c r="Q11" s="356"/>
      <c r="R11" s="356"/>
      <c r="S11" s="356"/>
      <c r="T11" s="356"/>
      <c r="U11" s="358"/>
      <c r="V11" s="355"/>
      <c r="W11" s="356"/>
      <c r="X11" s="356"/>
      <c r="Y11" s="356"/>
      <c r="Z11" s="356"/>
      <c r="AA11" s="358"/>
      <c r="AB11" s="355"/>
      <c r="AC11" s="356"/>
      <c r="AD11" s="356"/>
      <c r="AE11" s="356"/>
      <c r="AF11" s="356"/>
      <c r="AG11" s="358"/>
      <c r="AH11" s="373"/>
      <c r="AI11" s="374"/>
      <c r="AJ11" s="374"/>
      <c r="AK11" s="374"/>
      <c r="AL11" s="374"/>
      <c r="AM11" s="375"/>
      <c r="AN11" s="74"/>
      <c r="AO11" s="311"/>
      <c r="AP11" s="312"/>
      <c r="AQ11" s="312"/>
      <c r="AR11" s="312"/>
      <c r="AS11" s="312"/>
      <c r="AT11" s="313"/>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row>
    <row r="12" spans="1:99" ht="15" customHeight="1" x14ac:dyDescent="0.25">
      <c r="A12" s="74"/>
      <c r="B12" s="306"/>
      <c r="C12" s="306"/>
      <c r="D12" s="307"/>
      <c r="E12" s="347"/>
      <c r="F12" s="348"/>
      <c r="G12" s="348"/>
      <c r="H12" s="348"/>
      <c r="I12" s="349"/>
      <c r="J12" s="355" t="e">
        <f>IF(AND('Mapa final'!#REF!="Muy Alta",'Mapa final'!#REF!="Leve"),CONCATENATE("R",'Mapa final'!#REF!),"")</f>
        <v>#REF!</v>
      </c>
      <c r="K12" s="356"/>
      <c r="L12" s="356" t="str">
        <f>IF(AND('Mapa final'!$J$61="Muy Alta",'Mapa final'!$N$61="Leve"),CONCATENATE("R",'Mapa final'!$C$61),"")</f>
        <v/>
      </c>
      <c r="M12" s="356"/>
      <c r="N12" s="356" t="str">
        <f>IF(AND('Mapa final'!$J$66="Muy Alta",'Mapa final'!$N$66="Leve"),CONCATENATE("R",'Mapa final'!$C$66),"")</f>
        <v/>
      </c>
      <c r="O12" s="358"/>
      <c r="P12" s="355" t="e">
        <f>IF(AND('Mapa final'!#REF!="Muy Alta",'Mapa final'!#REF!="Menor"),CONCATENATE("R",'Mapa final'!#REF!),"")</f>
        <v>#REF!</v>
      </c>
      <c r="Q12" s="356"/>
      <c r="R12" s="356" t="str">
        <f>IF(AND('Mapa final'!$J$61="Muy Alta",'Mapa final'!$N$61="Menor"),CONCATENATE("R",'Mapa final'!$C$61),"")</f>
        <v/>
      </c>
      <c r="S12" s="356"/>
      <c r="T12" s="356" t="str">
        <f>IF(AND('Mapa final'!$J$66="Muy Alta",'Mapa final'!$N$66="Menor"),CONCATENATE("R",'Mapa final'!$C$66),"")</f>
        <v/>
      </c>
      <c r="U12" s="358"/>
      <c r="V12" s="355" t="e">
        <f>IF(AND('Mapa final'!#REF!="Muy Alta",'Mapa final'!#REF!="Moderado"),CONCATENATE("R",'Mapa final'!#REF!),"")</f>
        <v>#REF!</v>
      </c>
      <c r="W12" s="356"/>
      <c r="X12" s="356" t="str">
        <f>IF(AND('Mapa final'!$J$61="Muy Alta",'Mapa final'!$N$61="Moderado"),CONCATENATE("R",'Mapa final'!$C$61),"")</f>
        <v/>
      </c>
      <c r="Y12" s="356"/>
      <c r="Z12" s="356" t="str">
        <f>IF(AND('Mapa final'!$J$66="Muy Alta",'Mapa final'!$N$66="Moderado"),CONCATENATE("R",'Mapa final'!$C$66),"")</f>
        <v/>
      </c>
      <c r="AA12" s="358"/>
      <c r="AB12" s="355" t="e">
        <f>IF(AND('Mapa final'!#REF!="Muy Alta",'Mapa final'!#REF!="Mayor"),CONCATENATE("R",'Mapa final'!#REF!),"")</f>
        <v>#REF!</v>
      </c>
      <c r="AC12" s="356"/>
      <c r="AD12" s="356" t="str">
        <f>IF(AND('Mapa final'!$J$61="Muy Alta",'Mapa final'!$N$61="Mayor"),CONCATENATE("R",'Mapa final'!$C$61),"")</f>
        <v/>
      </c>
      <c r="AE12" s="356"/>
      <c r="AF12" s="356" t="str">
        <f>IF(AND('Mapa final'!$J$66="Muy Alta",'Mapa final'!$N$66="Mayor"),CONCATENATE("R",'Mapa final'!$C$66),"")</f>
        <v/>
      </c>
      <c r="AG12" s="358"/>
      <c r="AH12" s="373" t="e">
        <f>IF(AND('Mapa final'!#REF!="Muy Alta",'Mapa final'!#REF!="Catastrófico"),CONCATENATE("R",'Mapa final'!#REF!),"")</f>
        <v>#REF!</v>
      </c>
      <c r="AI12" s="374"/>
      <c r="AJ12" s="374" t="str">
        <f>IF(AND('Mapa final'!$J$61="Muy Alta",'Mapa final'!$N$61="Catastrófico"),CONCATENATE("R",'Mapa final'!$C$61),"")</f>
        <v/>
      </c>
      <c r="AK12" s="374"/>
      <c r="AL12" s="374" t="str">
        <f>IF(AND('Mapa final'!$J$66="Muy Alta",'Mapa final'!$N$66="Catastrófico"),CONCATENATE("R",'Mapa final'!$C$66),"")</f>
        <v/>
      </c>
      <c r="AM12" s="375"/>
      <c r="AN12" s="74"/>
      <c r="AO12" s="311"/>
      <c r="AP12" s="312"/>
      <c r="AQ12" s="312"/>
      <c r="AR12" s="312"/>
      <c r="AS12" s="312"/>
      <c r="AT12" s="313"/>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row>
    <row r="13" spans="1:99" ht="15.75" customHeight="1" thickBot="1" x14ac:dyDescent="0.3">
      <c r="A13" s="74"/>
      <c r="B13" s="306"/>
      <c r="C13" s="306"/>
      <c r="D13" s="307"/>
      <c r="E13" s="350"/>
      <c r="F13" s="351"/>
      <c r="G13" s="351"/>
      <c r="H13" s="351"/>
      <c r="I13" s="352"/>
      <c r="J13" s="355"/>
      <c r="K13" s="356"/>
      <c r="L13" s="356"/>
      <c r="M13" s="356"/>
      <c r="N13" s="356"/>
      <c r="O13" s="358"/>
      <c r="P13" s="355"/>
      <c r="Q13" s="356"/>
      <c r="R13" s="356"/>
      <c r="S13" s="356"/>
      <c r="T13" s="356"/>
      <c r="U13" s="358"/>
      <c r="V13" s="355"/>
      <c r="W13" s="356"/>
      <c r="X13" s="356"/>
      <c r="Y13" s="356"/>
      <c r="Z13" s="356"/>
      <c r="AA13" s="358"/>
      <c r="AB13" s="355"/>
      <c r="AC13" s="356"/>
      <c r="AD13" s="356"/>
      <c r="AE13" s="356"/>
      <c r="AF13" s="356"/>
      <c r="AG13" s="358"/>
      <c r="AH13" s="376"/>
      <c r="AI13" s="377"/>
      <c r="AJ13" s="377"/>
      <c r="AK13" s="377"/>
      <c r="AL13" s="377"/>
      <c r="AM13" s="378"/>
      <c r="AN13" s="74"/>
      <c r="AO13" s="314"/>
      <c r="AP13" s="315"/>
      <c r="AQ13" s="315"/>
      <c r="AR13" s="315"/>
      <c r="AS13" s="315"/>
      <c r="AT13" s="316"/>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row>
    <row r="14" spans="1:99" ht="15" customHeight="1" x14ac:dyDescent="0.25">
      <c r="A14" s="74"/>
      <c r="B14" s="306"/>
      <c r="C14" s="306"/>
      <c r="D14" s="307"/>
      <c r="E14" s="344" t="s">
        <v>114</v>
      </c>
      <c r="F14" s="345"/>
      <c r="G14" s="345"/>
      <c r="H14" s="345"/>
      <c r="I14" s="345"/>
      <c r="J14" s="365" t="str">
        <f>IF(AND('Mapa final'!$J$9="Alta",'Mapa final'!$N$9="Leve"),CONCATENATE("R",'Mapa final'!$C$9),"")</f>
        <v/>
      </c>
      <c r="K14" s="366"/>
      <c r="L14" s="366" t="str">
        <f>IF(AND('Mapa final'!$J$15="Alta",'Mapa final'!$N$15="Leve"),CONCATENATE("R",'Mapa final'!$C$15),"")</f>
        <v/>
      </c>
      <c r="M14" s="366"/>
      <c r="N14" s="366" t="e">
        <f>IF(AND('Mapa final'!#REF!="Alta",'Mapa final'!#REF!="Leve"),CONCATENATE("R",'Mapa final'!#REF!),"")</f>
        <v>#REF!</v>
      </c>
      <c r="O14" s="367"/>
      <c r="P14" s="365" t="str">
        <f>IF(AND('Mapa final'!$J$9="Alta",'Mapa final'!$N$9="Menor"),CONCATENATE("R",'Mapa final'!$C$9),"")</f>
        <v/>
      </c>
      <c r="Q14" s="366"/>
      <c r="R14" s="366" t="str">
        <f>IF(AND('Mapa final'!$J$15="Alta",'Mapa final'!$N$15="Menor"),CONCATENATE("R",'Mapa final'!$C$15),"")</f>
        <v/>
      </c>
      <c r="S14" s="366"/>
      <c r="T14" s="366" t="e">
        <f>IF(AND('Mapa final'!#REF!="Alta",'Mapa final'!#REF!="Menor"),CONCATENATE("R",'Mapa final'!#REF!),"")</f>
        <v>#REF!</v>
      </c>
      <c r="U14" s="367"/>
      <c r="V14" s="353" t="str">
        <f>IF(AND('Mapa final'!$J$9="Alta",'Mapa final'!$N$9="Moderado"),CONCATENATE("R",'Mapa final'!$C$9),"")</f>
        <v/>
      </c>
      <c r="W14" s="354"/>
      <c r="X14" s="354" t="str">
        <f>IF(AND('Mapa final'!$J$15="Alta",'Mapa final'!$N$15="Moderado"),CONCATENATE("R",'Mapa final'!$C$15),"")</f>
        <v/>
      </c>
      <c r="Y14" s="354"/>
      <c r="Z14" s="354" t="e">
        <f>IF(AND('Mapa final'!#REF!="Alta",'Mapa final'!#REF!="Moderado"),CONCATENATE("R",'Mapa final'!#REF!),"")</f>
        <v>#REF!</v>
      </c>
      <c r="AA14" s="357"/>
      <c r="AB14" s="353" t="str">
        <f>IF(AND('Mapa final'!$J$9="Alta",'Mapa final'!$N$9="Mayor"),CONCATENATE("R",'Mapa final'!$C$9),"")</f>
        <v/>
      </c>
      <c r="AC14" s="354"/>
      <c r="AD14" s="354" t="str">
        <f>IF(AND('Mapa final'!$J$15="Alta",'Mapa final'!$N$15="Mayor"),CONCATENATE("R",'Mapa final'!$C$15),"")</f>
        <v/>
      </c>
      <c r="AE14" s="354"/>
      <c r="AF14" s="354" t="e">
        <f>IF(AND('Mapa final'!#REF!="Alta",'Mapa final'!#REF!="Mayor"),CONCATENATE("R",'Mapa final'!#REF!),"")</f>
        <v>#REF!</v>
      </c>
      <c r="AG14" s="357"/>
      <c r="AH14" s="379" t="str">
        <f>IF(AND('Mapa final'!$J$9="Alta",'Mapa final'!$N$9="Catastrófico"),CONCATENATE("R",'Mapa final'!$C$9),"")</f>
        <v/>
      </c>
      <c r="AI14" s="380"/>
      <c r="AJ14" s="380" t="str">
        <f>IF(AND('Mapa final'!$J$15="Alta",'Mapa final'!$N$15="Catastrófico"),CONCATENATE("R",'Mapa final'!$C$15),"")</f>
        <v/>
      </c>
      <c r="AK14" s="380"/>
      <c r="AL14" s="380" t="e">
        <f>IF(AND('Mapa final'!#REF!="Alta",'Mapa final'!#REF!="Catastrófico"),CONCATENATE("R",'Mapa final'!#REF!),"")</f>
        <v>#REF!</v>
      </c>
      <c r="AM14" s="381"/>
      <c r="AN14" s="74"/>
      <c r="AO14" s="317" t="s">
        <v>79</v>
      </c>
      <c r="AP14" s="318"/>
      <c r="AQ14" s="318"/>
      <c r="AR14" s="318"/>
      <c r="AS14" s="318"/>
      <c r="AT14" s="319"/>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row>
    <row r="15" spans="1:99" ht="15" customHeight="1" x14ac:dyDescent="0.25">
      <c r="A15" s="74"/>
      <c r="B15" s="306"/>
      <c r="C15" s="306"/>
      <c r="D15" s="307"/>
      <c r="E15" s="347"/>
      <c r="F15" s="348"/>
      <c r="G15" s="348"/>
      <c r="H15" s="348"/>
      <c r="I15" s="348"/>
      <c r="J15" s="359"/>
      <c r="K15" s="360"/>
      <c r="L15" s="360"/>
      <c r="M15" s="360"/>
      <c r="N15" s="360"/>
      <c r="O15" s="361"/>
      <c r="P15" s="359"/>
      <c r="Q15" s="360"/>
      <c r="R15" s="360"/>
      <c r="S15" s="360"/>
      <c r="T15" s="360"/>
      <c r="U15" s="361"/>
      <c r="V15" s="355"/>
      <c r="W15" s="356"/>
      <c r="X15" s="356"/>
      <c r="Y15" s="356"/>
      <c r="Z15" s="356"/>
      <c r="AA15" s="358"/>
      <c r="AB15" s="355"/>
      <c r="AC15" s="356"/>
      <c r="AD15" s="356"/>
      <c r="AE15" s="356"/>
      <c r="AF15" s="356"/>
      <c r="AG15" s="358"/>
      <c r="AH15" s="373"/>
      <c r="AI15" s="374"/>
      <c r="AJ15" s="374"/>
      <c r="AK15" s="374"/>
      <c r="AL15" s="374"/>
      <c r="AM15" s="375"/>
      <c r="AN15" s="74"/>
      <c r="AO15" s="320"/>
      <c r="AP15" s="321"/>
      <c r="AQ15" s="321"/>
      <c r="AR15" s="321"/>
      <c r="AS15" s="321"/>
      <c r="AT15" s="322"/>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row>
    <row r="16" spans="1:99" ht="15" customHeight="1" x14ac:dyDescent="0.25">
      <c r="A16" s="74"/>
      <c r="B16" s="306"/>
      <c r="C16" s="306"/>
      <c r="D16" s="307"/>
      <c r="E16" s="347"/>
      <c r="F16" s="348"/>
      <c r="G16" s="348"/>
      <c r="H16" s="348"/>
      <c r="I16" s="348"/>
      <c r="J16" s="359" t="e">
        <f>IF(AND('Mapa final'!#REF!="Alta",'Mapa final'!#REF!="Leve"),CONCATENATE("R",'Mapa final'!#REF!),"")</f>
        <v>#REF!</v>
      </c>
      <c r="K16" s="360"/>
      <c r="L16" s="360" t="e">
        <f>IF(AND('Mapa final'!#REF!="Alta",'Mapa final'!#REF!="Leve"),CONCATENATE("R",'Mapa final'!#REF!),"")</f>
        <v>#REF!</v>
      </c>
      <c r="M16" s="360"/>
      <c r="N16" s="360" t="str">
        <f>IF(AND('Mapa final'!$J$32="Alta",'Mapa final'!$N$32="Leve"),CONCATENATE("R",'Mapa final'!$C$32),"")</f>
        <v/>
      </c>
      <c r="O16" s="361"/>
      <c r="P16" s="359" t="e">
        <f>IF(AND('Mapa final'!#REF!="Alta",'Mapa final'!#REF!="Menor"),CONCATENATE("R",'Mapa final'!#REF!),"")</f>
        <v>#REF!</v>
      </c>
      <c r="Q16" s="360"/>
      <c r="R16" s="360" t="e">
        <f>IF(AND('Mapa final'!#REF!="Alta",'Mapa final'!#REF!="Menor"),CONCATENATE("R",'Mapa final'!#REF!),"")</f>
        <v>#REF!</v>
      </c>
      <c r="S16" s="360"/>
      <c r="T16" s="360" t="str">
        <f>IF(AND('Mapa final'!$J$32="Alta",'Mapa final'!$N$32="Menor"),CONCATENATE("R",'Mapa final'!$C$32),"")</f>
        <v/>
      </c>
      <c r="U16" s="361"/>
      <c r="V16" s="355" t="e">
        <f>IF(AND('Mapa final'!#REF!="Alta",'Mapa final'!#REF!="Moderado"),CONCATENATE("R",'Mapa final'!#REF!),"")</f>
        <v>#REF!</v>
      </c>
      <c r="W16" s="356"/>
      <c r="X16" s="356" t="e">
        <f>IF(AND('Mapa final'!#REF!="Alta",'Mapa final'!#REF!="Moderado"),CONCATENATE("R",'Mapa final'!#REF!),"")</f>
        <v>#REF!</v>
      </c>
      <c r="Y16" s="356"/>
      <c r="Z16" s="356" t="str">
        <f>IF(AND('Mapa final'!$J$32="Alta",'Mapa final'!$N$32="Moderado"),CONCATENATE("R",'Mapa final'!$C$32),"")</f>
        <v/>
      </c>
      <c r="AA16" s="358"/>
      <c r="AB16" s="355" t="e">
        <f>IF(AND('Mapa final'!#REF!="Alta",'Mapa final'!#REF!="Mayor"),CONCATENATE("R",'Mapa final'!#REF!),"")</f>
        <v>#REF!</v>
      </c>
      <c r="AC16" s="356"/>
      <c r="AD16" s="356" t="e">
        <f>IF(AND('Mapa final'!#REF!="Alta",'Mapa final'!#REF!="Mayor"),CONCATENATE("R",'Mapa final'!#REF!),"")</f>
        <v>#REF!</v>
      </c>
      <c r="AE16" s="356"/>
      <c r="AF16" s="356" t="str">
        <f>IF(AND('Mapa final'!$J$32="Alta",'Mapa final'!$N$32="Mayor"),CONCATENATE("R",'Mapa final'!$C$32),"")</f>
        <v/>
      </c>
      <c r="AG16" s="358"/>
      <c r="AH16" s="373" t="e">
        <f>IF(AND('Mapa final'!#REF!="Alta",'Mapa final'!#REF!="Catastrófico"),CONCATENATE("R",'Mapa final'!#REF!),"")</f>
        <v>#REF!</v>
      </c>
      <c r="AI16" s="374"/>
      <c r="AJ16" s="374" t="e">
        <f>IF(AND('Mapa final'!#REF!="Alta",'Mapa final'!#REF!="Catastrófico"),CONCATENATE("R",'Mapa final'!#REF!),"")</f>
        <v>#REF!</v>
      </c>
      <c r="AK16" s="374"/>
      <c r="AL16" s="374" t="str">
        <f>IF(AND('Mapa final'!$J$32="Alta",'Mapa final'!$N$32="Catastrófico"),CONCATENATE("R",'Mapa final'!$C$32),"")</f>
        <v/>
      </c>
      <c r="AM16" s="375"/>
      <c r="AN16" s="74"/>
      <c r="AO16" s="320"/>
      <c r="AP16" s="321"/>
      <c r="AQ16" s="321"/>
      <c r="AR16" s="321"/>
      <c r="AS16" s="321"/>
      <c r="AT16" s="322"/>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row>
    <row r="17" spans="1:80" ht="15" customHeight="1" x14ac:dyDescent="0.25">
      <c r="A17" s="74"/>
      <c r="B17" s="306"/>
      <c r="C17" s="306"/>
      <c r="D17" s="307"/>
      <c r="E17" s="347"/>
      <c r="F17" s="348"/>
      <c r="G17" s="348"/>
      <c r="H17" s="348"/>
      <c r="I17" s="348"/>
      <c r="J17" s="359"/>
      <c r="K17" s="360"/>
      <c r="L17" s="360"/>
      <c r="M17" s="360"/>
      <c r="N17" s="360"/>
      <c r="O17" s="361"/>
      <c r="P17" s="359"/>
      <c r="Q17" s="360"/>
      <c r="R17" s="360"/>
      <c r="S17" s="360"/>
      <c r="T17" s="360"/>
      <c r="U17" s="361"/>
      <c r="V17" s="355"/>
      <c r="W17" s="356"/>
      <c r="X17" s="356"/>
      <c r="Y17" s="356"/>
      <c r="Z17" s="356"/>
      <c r="AA17" s="358"/>
      <c r="AB17" s="355"/>
      <c r="AC17" s="356"/>
      <c r="AD17" s="356"/>
      <c r="AE17" s="356"/>
      <c r="AF17" s="356"/>
      <c r="AG17" s="358"/>
      <c r="AH17" s="373"/>
      <c r="AI17" s="374"/>
      <c r="AJ17" s="374"/>
      <c r="AK17" s="374"/>
      <c r="AL17" s="374"/>
      <c r="AM17" s="375"/>
      <c r="AN17" s="74"/>
      <c r="AO17" s="320"/>
      <c r="AP17" s="321"/>
      <c r="AQ17" s="321"/>
      <c r="AR17" s="321"/>
      <c r="AS17" s="321"/>
      <c r="AT17" s="322"/>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row>
    <row r="18" spans="1:80" ht="15" customHeight="1" x14ac:dyDescent="0.25">
      <c r="A18" s="74"/>
      <c r="B18" s="306"/>
      <c r="C18" s="306"/>
      <c r="D18" s="307"/>
      <c r="E18" s="347"/>
      <c r="F18" s="348"/>
      <c r="G18" s="348"/>
      <c r="H18" s="348"/>
      <c r="I18" s="348"/>
      <c r="J18" s="359" t="e">
        <f>IF(AND('Mapa final'!#REF!="Alta",'Mapa final'!#REF!="Leve"),CONCATENATE("R",'Mapa final'!#REF!),"")</f>
        <v>#REF!</v>
      </c>
      <c r="K18" s="360"/>
      <c r="L18" s="360" t="e">
        <f>IF(AND('Mapa final'!#REF!="Alta",'Mapa final'!#REF!="Leve"),CONCATENATE("R",'Mapa final'!#REF!),"")</f>
        <v>#REF!</v>
      </c>
      <c r="M18" s="360"/>
      <c r="N18" s="360" t="str">
        <f>IF(AND('Mapa final'!$J$42="Alta",'Mapa final'!$N$42="Leve"),CONCATENATE("R",'Mapa final'!$C$42),"")</f>
        <v/>
      </c>
      <c r="O18" s="361"/>
      <c r="P18" s="359" t="e">
        <f>IF(AND('Mapa final'!#REF!="Alta",'Mapa final'!#REF!="Menor"),CONCATENATE("R",'Mapa final'!#REF!),"")</f>
        <v>#REF!</v>
      </c>
      <c r="Q18" s="360"/>
      <c r="R18" s="360" t="e">
        <f>IF(AND('Mapa final'!#REF!="Alta",'Mapa final'!#REF!="Menor"),CONCATENATE("R",'Mapa final'!#REF!),"")</f>
        <v>#REF!</v>
      </c>
      <c r="S18" s="360"/>
      <c r="T18" s="360" t="str">
        <f>IF(AND('Mapa final'!$J$42="Alta",'Mapa final'!$N$42="Menor"),CONCATENATE("R",'Mapa final'!$C$42),"")</f>
        <v/>
      </c>
      <c r="U18" s="361"/>
      <c r="V18" s="355" t="e">
        <f>IF(AND('Mapa final'!#REF!="Alta",'Mapa final'!#REF!="Moderado"),CONCATENATE("R",'Mapa final'!#REF!),"")</f>
        <v>#REF!</v>
      </c>
      <c r="W18" s="356"/>
      <c r="X18" s="356" t="e">
        <f>IF(AND('Mapa final'!#REF!="Alta",'Mapa final'!#REF!="Moderado"),CONCATENATE("R",'Mapa final'!#REF!),"")</f>
        <v>#REF!</v>
      </c>
      <c r="Y18" s="356"/>
      <c r="Z18" s="356" t="str">
        <f>IF(AND('Mapa final'!$J$42="Alta",'Mapa final'!$N$42="Moderado"),CONCATENATE("R",'Mapa final'!$C$42),"")</f>
        <v/>
      </c>
      <c r="AA18" s="358"/>
      <c r="AB18" s="355" t="e">
        <f>IF(AND('Mapa final'!#REF!="Alta",'Mapa final'!#REF!="Mayor"),CONCATENATE("R",'Mapa final'!#REF!),"")</f>
        <v>#REF!</v>
      </c>
      <c r="AC18" s="356"/>
      <c r="AD18" s="356" t="e">
        <f>IF(AND('Mapa final'!#REF!="Alta",'Mapa final'!#REF!="Mayor"),CONCATENATE("R",'Mapa final'!#REF!),"")</f>
        <v>#REF!</v>
      </c>
      <c r="AE18" s="356"/>
      <c r="AF18" s="356" t="str">
        <f>IF(AND('Mapa final'!$J$42="Alta",'Mapa final'!$N$42="Mayor"),CONCATENATE("R",'Mapa final'!$C$42),"")</f>
        <v/>
      </c>
      <c r="AG18" s="358"/>
      <c r="AH18" s="373" t="e">
        <f>IF(AND('Mapa final'!#REF!="Alta",'Mapa final'!#REF!="Catastrófico"),CONCATENATE("R",'Mapa final'!#REF!),"")</f>
        <v>#REF!</v>
      </c>
      <c r="AI18" s="374"/>
      <c r="AJ18" s="374" t="e">
        <f>IF(AND('Mapa final'!#REF!="Alta",'Mapa final'!#REF!="Catastrófico"),CONCATENATE("R",'Mapa final'!#REF!),"")</f>
        <v>#REF!</v>
      </c>
      <c r="AK18" s="374"/>
      <c r="AL18" s="374" t="str">
        <f>IF(AND('Mapa final'!$J$42="Alta",'Mapa final'!$N$42="Catastrófico"),CONCATENATE("R",'Mapa final'!$C$42),"")</f>
        <v/>
      </c>
      <c r="AM18" s="375"/>
      <c r="AN18" s="74"/>
      <c r="AO18" s="320"/>
      <c r="AP18" s="321"/>
      <c r="AQ18" s="321"/>
      <c r="AR18" s="321"/>
      <c r="AS18" s="321"/>
      <c r="AT18" s="322"/>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row>
    <row r="19" spans="1:80" ht="15" customHeight="1" x14ac:dyDescent="0.25">
      <c r="A19" s="74"/>
      <c r="B19" s="306"/>
      <c r="C19" s="306"/>
      <c r="D19" s="307"/>
      <c r="E19" s="347"/>
      <c r="F19" s="348"/>
      <c r="G19" s="348"/>
      <c r="H19" s="348"/>
      <c r="I19" s="348"/>
      <c r="J19" s="359"/>
      <c r="K19" s="360"/>
      <c r="L19" s="360"/>
      <c r="M19" s="360"/>
      <c r="N19" s="360"/>
      <c r="O19" s="361"/>
      <c r="P19" s="359"/>
      <c r="Q19" s="360"/>
      <c r="R19" s="360"/>
      <c r="S19" s="360"/>
      <c r="T19" s="360"/>
      <c r="U19" s="361"/>
      <c r="V19" s="355"/>
      <c r="W19" s="356"/>
      <c r="X19" s="356"/>
      <c r="Y19" s="356"/>
      <c r="Z19" s="356"/>
      <c r="AA19" s="358"/>
      <c r="AB19" s="355"/>
      <c r="AC19" s="356"/>
      <c r="AD19" s="356"/>
      <c r="AE19" s="356"/>
      <c r="AF19" s="356"/>
      <c r="AG19" s="358"/>
      <c r="AH19" s="373"/>
      <c r="AI19" s="374"/>
      <c r="AJ19" s="374"/>
      <c r="AK19" s="374"/>
      <c r="AL19" s="374"/>
      <c r="AM19" s="375"/>
      <c r="AN19" s="74"/>
      <c r="AO19" s="320"/>
      <c r="AP19" s="321"/>
      <c r="AQ19" s="321"/>
      <c r="AR19" s="321"/>
      <c r="AS19" s="321"/>
      <c r="AT19" s="322"/>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row>
    <row r="20" spans="1:80" ht="15" customHeight="1" x14ac:dyDescent="0.25">
      <c r="A20" s="74"/>
      <c r="B20" s="306"/>
      <c r="C20" s="306"/>
      <c r="D20" s="307"/>
      <c r="E20" s="347"/>
      <c r="F20" s="348"/>
      <c r="G20" s="348"/>
      <c r="H20" s="348"/>
      <c r="I20" s="348"/>
      <c r="J20" s="359" t="e">
        <f>IF(AND('Mapa final'!#REF!="Alta",'Mapa final'!#REF!="Leve"),CONCATENATE("R",'Mapa final'!#REF!),"")</f>
        <v>#REF!</v>
      </c>
      <c r="K20" s="360"/>
      <c r="L20" s="360" t="str">
        <f>IF(AND('Mapa final'!$J$61="Alta",'Mapa final'!$N$61="Leve"),CONCATENATE("R",'Mapa final'!$C$61),"")</f>
        <v/>
      </c>
      <c r="M20" s="360"/>
      <c r="N20" s="360" t="str">
        <f>IF(AND('Mapa final'!$J$66="Alta",'Mapa final'!$N$66="Leve"),CONCATENATE("R",'Mapa final'!$C$66),"")</f>
        <v/>
      </c>
      <c r="O20" s="361"/>
      <c r="P20" s="359" t="e">
        <f>IF(AND('Mapa final'!#REF!="Alta",'Mapa final'!#REF!="Menor"),CONCATENATE("R",'Mapa final'!#REF!),"")</f>
        <v>#REF!</v>
      </c>
      <c r="Q20" s="360"/>
      <c r="R20" s="360" t="str">
        <f>IF(AND('Mapa final'!$J$61="Alta",'Mapa final'!$N$61="Menor"),CONCATENATE("R",'Mapa final'!$C$61),"")</f>
        <v/>
      </c>
      <c r="S20" s="360"/>
      <c r="T20" s="360" t="str">
        <f>IF(AND('Mapa final'!$J$66="Alta",'Mapa final'!$N$66="Menor"),CONCATENATE("R",'Mapa final'!$C$66),"")</f>
        <v/>
      </c>
      <c r="U20" s="361"/>
      <c r="V20" s="355" t="e">
        <f>IF(AND('Mapa final'!#REF!="Alta",'Mapa final'!#REF!="Moderado"),CONCATENATE("R",'Mapa final'!#REF!),"")</f>
        <v>#REF!</v>
      </c>
      <c r="W20" s="356"/>
      <c r="X20" s="356" t="str">
        <f>IF(AND('Mapa final'!$J$61="Alta",'Mapa final'!$N$61="Moderado"),CONCATENATE("R",'Mapa final'!$C$61),"")</f>
        <v/>
      </c>
      <c r="Y20" s="356"/>
      <c r="Z20" s="356" t="str">
        <f>IF(AND('Mapa final'!$J$66="Alta",'Mapa final'!$N$66="Moderado"),CONCATENATE("R",'Mapa final'!$C$66),"")</f>
        <v/>
      </c>
      <c r="AA20" s="358"/>
      <c r="AB20" s="355" t="e">
        <f>IF(AND('Mapa final'!#REF!="Alta",'Mapa final'!#REF!="Mayor"),CONCATENATE("R",'Mapa final'!#REF!),"")</f>
        <v>#REF!</v>
      </c>
      <c r="AC20" s="356"/>
      <c r="AD20" s="356" t="str">
        <f>IF(AND('Mapa final'!$J$61="Alta",'Mapa final'!$N$61="Mayor"),CONCATENATE("R",'Mapa final'!$C$61),"")</f>
        <v/>
      </c>
      <c r="AE20" s="356"/>
      <c r="AF20" s="356" t="str">
        <f>IF(AND('Mapa final'!$J$66="Alta",'Mapa final'!$N$66="Mayor"),CONCATENATE("R",'Mapa final'!$C$66),"")</f>
        <v/>
      </c>
      <c r="AG20" s="358"/>
      <c r="AH20" s="373" t="e">
        <f>IF(AND('Mapa final'!#REF!="Alta",'Mapa final'!#REF!="Catastrófico"),CONCATENATE("R",'Mapa final'!#REF!),"")</f>
        <v>#REF!</v>
      </c>
      <c r="AI20" s="374"/>
      <c r="AJ20" s="374" t="str">
        <f>IF(AND('Mapa final'!$J$61="Alta",'Mapa final'!$N$61="Catastrófico"),CONCATENATE("R",'Mapa final'!$C$61),"")</f>
        <v/>
      </c>
      <c r="AK20" s="374"/>
      <c r="AL20" s="374" t="str">
        <f>IF(AND('Mapa final'!$J$66="Alta",'Mapa final'!$N$66="Catastrófico"),CONCATENATE("R",'Mapa final'!$C$66),"")</f>
        <v/>
      </c>
      <c r="AM20" s="375"/>
      <c r="AN20" s="74"/>
      <c r="AO20" s="320"/>
      <c r="AP20" s="321"/>
      <c r="AQ20" s="321"/>
      <c r="AR20" s="321"/>
      <c r="AS20" s="321"/>
      <c r="AT20" s="322"/>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row>
    <row r="21" spans="1:80" ht="15.75" customHeight="1" thickBot="1" x14ac:dyDescent="0.3">
      <c r="A21" s="74"/>
      <c r="B21" s="306"/>
      <c r="C21" s="306"/>
      <c r="D21" s="307"/>
      <c r="E21" s="350"/>
      <c r="F21" s="351"/>
      <c r="G21" s="351"/>
      <c r="H21" s="351"/>
      <c r="I21" s="351"/>
      <c r="J21" s="362"/>
      <c r="K21" s="363"/>
      <c r="L21" s="363"/>
      <c r="M21" s="363"/>
      <c r="N21" s="363"/>
      <c r="O21" s="364"/>
      <c r="P21" s="362"/>
      <c r="Q21" s="363"/>
      <c r="R21" s="363"/>
      <c r="S21" s="363"/>
      <c r="T21" s="363"/>
      <c r="U21" s="364"/>
      <c r="V21" s="370"/>
      <c r="W21" s="371"/>
      <c r="X21" s="371"/>
      <c r="Y21" s="371"/>
      <c r="Z21" s="371"/>
      <c r="AA21" s="372"/>
      <c r="AB21" s="370"/>
      <c r="AC21" s="371"/>
      <c r="AD21" s="371"/>
      <c r="AE21" s="371"/>
      <c r="AF21" s="371"/>
      <c r="AG21" s="372"/>
      <c r="AH21" s="376"/>
      <c r="AI21" s="377"/>
      <c r="AJ21" s="377"/>
      <c r="AK21" s="377"/>
      <c r="AL21" s="377"/>
      <c r="AM21" s="378"/>
      <c r="AN21" s="74"/>
      <c r="AO21" s="323"/>
      <c r="AP21" s="324"/>
      <c r="AQ21" s="324"/>
      <c r="AR21" s="324"/>
      <c r="AS21" s="324"/>
      <c r="AT21" s="325"/>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row>
    <row r="22" spans="1:80" x14ac:dyDescent="0.25">
      <c r="A22" s="74"/>
      <c r="B22" s="306"/>
      <c r="C22" s="306"/>
      <c r="D22" s="307"/>
      <c r="E22" s="344" t="s">
        <v>116</v>
      </c>
      <c r="F22" s="345"/>
      <c r="G22" s="345"/>
      <c r="H22" s="345"/>
      <c r="I22" s="346"/>
      <c r="J22" s="365" t="str">
        <f>IF(AND('Mapa final'!$J$9="Media",'Mapa final'!$N$9="Leve"),CONCATENATE("R",'Mapa final'!$C$9),"")</f>
        <v/>
      </c>
      <c r="K22" s="366"/>
      <c r="L22" s="366" t="str">
        <f>IF(AND('Mapa final'!$J$15="Media",'Mapa final'!$N$15="Leve"),CONCATENATE("R",'Mapa final'!$C$15),"")</f>
        <v/>
      </c>
      <c r="M22" s="366"/>
      <c r="N22" s="366" t="e">
        <f>IF(AND('Mapa final'!#REF!="Media",'Mapa final'!#REF!="Leve"),CONCATENATE("R",'Mapa final'!#REF!),"")</f>
        <v>#REF!</v>
      </c>
      <c r="O22" s="367"/>
      <c r="P22" s="365" t="str">
        <f>IF(AND('Mapa final'!$J$9="Media",'Mapa final'!$N$9="Menor"),CONCATENATE("R",'Mapa final'!$C$9),"")</f>
        <v/>
      </c>
      <c r="Q22" s="366"/>
      <c r="R22" s="366" t="str">
        <f>IF(AND('Mapa final'!$J$15="Media",'Mapa final'!$N$15="Menor"),CONCATENATE("R",'Mapa final'!$C$15),"")</f>
        <v/>
      </c>
      <c r="S22" s="366"/>
      <c r="T22" s="366" t="e">
        <f>IF(AND('Mapa final'!#REF!="Media",'Mapa final'!#REF!="Menor"),CONCATENATE("R",'Mapa final'!#REF!),"")</f>
        <v>#REF!</v>
      </c>
      <c r="U22" s="367"/>
      <c r="V22" s="365" t="str">
        <f>IF(AND('Mapa final'!$J$9="Media",'Mapa final'!$N$9="Moderado"),CONCATENATE("R",'Mapa final'!$C$9),"")</f>
        <v>R1</v>
      </c>
      <c r="W22" s="366"/>
      <c r="X22" s="366" t="str">
        <f>IF(AND('Mapa final'!$J$15="Media",'Mapa final'!$N$15="Moderado"),CONCATENATE("R",'Mapa final'!$C$15),"")</f>
        <v>R7</v>
      </c>
      <c r="Y22" s="366"/>
      <c r="Z22" s="366" t="e">
        <f>IF(AND('Mapa final'!#REF!="Media",'Mapa final'!#REF!="Moderado"),CONCATENATE("R",'Mapa final'!#REF!),"")</f>
        <v>#REF!</v>
      </c>
      <c r="AA22" s="367"/>
      <c r="AB22" s="353" t="str">
        <f>IF(AND('Mapa final'!$J$9="Media",'Mapa final'!$N$9="Mayor"),CONCATENATE("R",'Mapa final'!$C$9),"")</f>
        <v/>
      </c>
      <c r="AC22" s="354"/>
      <c r="AD22" s="354" t="str">
        <f>IF(AND('Mapa final'!$J$15="Media",'Mapa final'!$N$15="Mayor"),CONCATENATE("R",'Mapa final'!$C$15),"")</f>
        <v/>
      </c>
      <c r="AE22" s="354"/>
      <c r="AF22" s="354" t="e">
        <f>IF(AND('Mapa final'!#REF!="Media",'Mapa final'!#REF!="Mayor"),CONCATENATE("R",'Mapa final'!#REF!),"")</f>
        <v>#REF!</v>
      </c>
      <c r="AG22" s="357"/>
      <c r="AH22" s="379" t="str">
        <f>IF(AND('Mapa final'!$J$9="Media",'Mapa final'!$N$9="Catastrófico"),CONCATENATE("R",'Mapa final'!$C$9),"")</f>
        <v/>
      </c>
      <c r="AI22" s="380"/>
      <c r="AJ22" s="380" t="str">
        <f>IF(AND('Mapa final'!$J$15="Media",'Mapa final'!$N$15="Catastrófico"),CONCATENATE("R",'Mapa final'!$C$15),"")</f>
        <v/>
      </c>
      <c r="AK22" s="380"/>
      <c r="AL22" s="380" t="e">
        <f>IF(AND('Mapa final'!#REF!="Media",'Mapa final'!#REF!="Catastrófico"),CONCATENATE("R",'Mapa final'!#REF!),"")</f>
        <v>#REF!</v>
      </c>
      <c r="AM22" s="381"/>
      <c r="AN22" s="74"/>
      <c r="AO22" s="326" t="s">
        <v>80</v>
      </c>
      <c r="AP22" s="327"/>
      <c r="AQ22" s="327"/>
      <c r="AR22" s="327"/>
      <c r="AS22" s="327"/>
      <c r="AT22" s="328"/>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row>
    <row r="23" spans="1:80" x14ac:dyDescent="0.25">
      <c r="A23" s="74"/>
      <c r="B23" s="306"/>
      <c r="C23" s="306"/>
      <c r="D23" s="307"/>
      <c r="E23" s="347"/>
      <c r="F23" s="348"/>
      <c r="G23" s="348"/>
      <c r="H23" s="348"/>
      <c r="I23" s="349"/>
      <c r="J23" s="359"/>
      <c r="K23" s="360"/>
      <c r="L23" s="360"/>
      <c r="M23" s="360"/>
      <c r="N23" s="360"/>
      <c r="O23" s="361"/>
      <c r="P23" s="359"/>
      <c r="Q23" s="360"/>
      <c r="R23" s="360"/>
      <c r="S23" s="360"/>
      <c r="T23" s="360"/>
      <c r="U23" s="361"/>
      <c r="V23" s="359"/>
      <c r="W23" s="360"/>
      <c r="X23" s="360"/>
      <c r="Y23" s="360"/>
      <c r="Z23" s="360"/>
      <c r="AA23" s="361"/>
      <c r="AB23" s="355"/>
      <c r="AC23" s="356"/>
      <c r="AD23" s="356"/>
      <c r="AE23" s="356"/>
      <c r="AF23" s="356"/>
      <c r="AG23" s="358"/>
      <c r="AH23" s="373"/>
      <c r="AI23" s="374"/>
      <c r="AJ23" s="374"/>
      <c r="AK23" s="374"/>
      <c r="AL23" s="374"/>
      <c r="AM23" s="375"/>
      <c r="AN23" s="74"/>
      <c r="AO23" s="329"/>
      <c r="AP23" s="330"/>
      <c r="AQ23" s="330"/>
      <c r="AR23" s="330"/>
      <c r="AS23" s="330"/>
      <c r="AT23" s="331"/>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row>
    <row r="24" spans="1:80" x14ac:dyDescent="0.25">
      <c r="A24" s="74"/>
      <c r="B24" s="306"/>
      <c r="C24" s="306"/>
      <c r="D24" s="307"/>
      <c r="E24" s="347"/>
      <c r="F24" s="348"/>
      <c r="G24" s="348"/>
      <c r="H24" s="348"/>
      <c r="I24" s="349"/>
      <c r="J24" s="359" t="e">
        <f>IF(AND('Mapa final'!#REF!="Media",'Mapa final'!#REF!="Leve"),CONCATENATE("R",'Mapa final'!#REF!),"")</f>
        <v>#REF!</v>
      </c>
      <c r="K24" s="360"/>
      <c r="L24" s="360" t="e">
        <f>IF(AND('Mapa final'!#REF!="Media",'Mapa final'!#REF!="Leve"),CONCATENATE("R",'Mapa final'!#REF!),"")</f>
        <v>#REF!</v>
      </c>
      <c r="M24" s="360"/>
      <c r="N24" s="360" t="str">
        <f>IF(AND('Mapa final'!$J$32="Media",'Mapa final'!$N$32="Leve"),CONCATENATE("R",'Mapa final'!$C$32),"")</f>
        <v/>
      </c>
      <c r="O24" s="361"/>
      <c r="P24" s="359" t="e">
        <f>IF(AND('Mapa final'!#REF!="Media",'Mapa final'!#REF!="Menor"),CONCATENATE("R",'Mapa final'!#REF!),"")</f>
        <v>#REF!</v>
      </c>
      <c r="Q24" s="360"/>
      <c r="R24" s="360" t="e">
        <f>IF(AND('Mapa final'!#REF!="Media",'Mapa final'!#REF!="Menor"),CONCATENATE("R",'Mapa final'!#REF!),"")</f>
        <v>#REF!</v>
      </c>
      <c r="S24" s="360"/>
      <c r="T24" s="360" t="str">
        <f>IF(AND('Mapa final'!$J$32="Media",'Mapa final'!$N$32="Menor"),CONCATENATE("R",'Mapa final'!$C$32),"")</f>
        <v/>
      </c>
      <c r="U24" s="361"/>
      <c r="V24" s="359" t="e">
        <f>IF(AND('Mapa final'!#REF!="Media",'Mapa final'!#REF!="Moderado"),CONCATENATE("R",'Mapa final'!#REF!),"")</f>
        <v>#REF!</v>
      </c>
      <c r="W24" s="360"/>
      <c r="X24" s="360" t="e">
        <f>IF(AND('Mapa final'!#REF!="Media",'Mapa final'!#REF!="Moderado"),CONCATENATE("R",'Mapa final'!#REF!),"")</f>
        <v>#REF!</v>
      </c>
      <c r="Y24" s="360"/>
      <c r="Z24" s="360" t="str">
        <f>IF(AND('Mapa final'!$J$32="Media",'Mapa final'!$N$32="Moderado"),CONCATENATE("R",'Mapa final'!$C$32),"")</f>
        <v>R23</v>
      </c>
      <c r="AA24" s="361"/>
      <c r="AB24" s="355" t="e">
        <f>IF(AND('Mapa final'!#REF!="Media",'Mapa final'!#REF!="Mayor"),CONCATENATE("R",'Mapa final'!#REF!),"")</f>
        <v>#REF!</v>
      </c>
      <c r="AC24" s="356"/>
      <c r="AD24" s="356" t="e">
        <f>IF(AND('Mapa final'!#REF!="Media",'Mapa final'!#REF!="Mayor"),CONCATENATE("R",'Mapa final'!#REF!),"")</f>
        <v>#REF!</v>
      </c>
      <c r="AE24" s="356"/>
      <c r="AF24" s="356" t="str">
        <f>IF(AND('Mapa final'!$J$32="Media",'Mapa final'!$N$32="Mayor"),CONCATENATE("R",'Mapa final'!$C$32),"")</f>
        <v/>
      </c>
      <c r="AG24" s="358"/>
      <c r="AH24" s="373" t="e">
        <f>IF(AND('Mapa final'!#REF!="Media",'Mapa final'!#REF!="Catastrófico"),CONCATENATE("R",'Mapa final'!#REF!),"")</f>
        <v>#REF!</v>
      </c>
      <c r="AI24" s="374"/>
      <c r="AJ24" s="374" t="e">
        <f>IF(AND('Mapa final'!#REF!="Media",'Mapa final'!#REF!="Catastrófico"),CONCATENATE("R",'Mapa final'!#REF!),"")</f>
        <v>#REF!</v>
      </c>
      <c r="AK24" s="374"/>
      <c r="AL24" s="374" t="str">
        <f>IF(AND('Mapa final'!$J$32="Media",'Mapa final'!$N$32="Catastrófico"),CONCATENATE("R",'Mapa final'!$C$32),"")</f>
        <v/>
      </c>
      <c r="AM24" s="375"/>
      <c r="AN24" s="74"/>
      <c r="AO24" s="329"/>
      <c r="AP24" s="330"/>
      <c r="AQ24" s="330"/>
      <c r="AR24" s="330"/>
      <c r="AS24" s="330"/>
      <c r="AT24" s="331"/>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row>
    <row r="25" spans="1:80" x14ac:dyDescent="0.25">
      <c r="A25" s="74"/>
      <c r="B25" s="306"/>
      <c r="C25" s="306"/>
      <c r="D25" s="307"/>
      <c r="E25" s="347"/>
      <c r="F25" s="348"/>
      <c r="G25" s="348"/>
      <c r="H25" s="348"/>
      <c r="I25" s="349"/>
      <c r="J25" s="359"/>
      <c r="K25" s="360"/>
      <c r="L25" s="360"/>
      <c r="M25" s="360"/>
      <c r="N25" s="360"/>
      <c r="O25" s="361"/>
      <c r="P25" s="359"/>
      <c r="Q25" s="360"/>
      <c r="R25" s="360"/>
      <c r="S25" s="360"/>
      <c r="T25" s="360"/>
      <c r="U25" s="361"/>
      <c r="V25" s="359"/>
      <c r="W25" s="360"/>
      <c r="X25" s="360"/>
      <c r="Y25" s="360"/>
      <c r="Z25" s="360"/>
      <c r="AA25" s="361"/>
      <c r="AB25" s="355"/>
      <c r="AC25" s="356"/>
      <c r="AD25" s="356"/>
      <c r="AE25" s="356"/>
      <c r="AF25" s="356"/>
      <c r="AG25" s="358"/>
      <c r="AH25" s="373"/>
      <c r="AI25" s="374"/>
      <c r="AJ25" s="374"/>
      <c r="AK25" s="374"/>
      <c r="AL25" s="374"/>
      <c r="AM25" s="375"/>
      <c r="AN25" s="74"/>
      <c r="AO25" s="329"/>
      <c r="AP25" s="330"/>
      <c r="AQ25" s="330"/>
      <c r="AR25" s="330"/>
      <c r="AS25" s="330"/>
      <c r="AT25" s="331"/>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row>
    <row r="26" spans="1:80" x14ac:dyDescent="0.25">
      <c r="A26" s="74"/>
      <c r="B26" s="306"/>
      <c r="C26" s="306"/>
      <c r="D26" s="307"/>
      <c r="E26" s="347"/>
      <c r="F26" s="348"/>
      <c r="G26" s="348"/>
      <c r="H26" s="348"/>
      <c r="I26" s="349"/>
      <c r="J26" s="359" t="e">
        <f>IF(AND('Mapa final'!#REF!="Media",'Mapa final'!#REF!="Leve"),CONCATENATE("R",'Mapa final'!#REF!),"")</f>
        <v>#REF!</v>
      </c>
      <c r="K26" s="360"/>
      <c r="L26" s="360" t="e">
        <f>IF(AND('Mapa final'!#REF!="Media",'Mapa final'!#REF!="Leve"),CONCATENATE("R",'Mapa final'!#REF!),"")</f>
        <v>#REF!</v>
      </c>
      <c r="M26" s="360"/>
      <c r="N26" s="360" t="str">
        <f>IF(AND('Mapa final'!$J$42="Media",'Mapa final'!$N$42="Leve"),CONCATENATE("R",'Mapa final'!$C$42),"")</f>
        <v/>
      </c>
      <c r="O26" s="361"/>
      <c r="P26" s="359" t="e">
        <f>IF(AND('Mapa final'!#REF!="Media",'Mapa final'!#REF!="Menor"),CONCATENATE("R",'Mapa final'!#REF!),"")</f>
        <v>#REF!</v>
      </c>
      <c r="Q26" s="360"/>
      <c r="R26" s="360" t="e">
        <f>IF(AND('Mapa final'!#REF!="Media",'Mapa final'!#REF!="Menor"),CONCATENATE("R",'Mapa final'!#REF!),"")</f>
        <v>#REF!</v>
      </c>
      <c r="S26" s="360"/>
      <c r="T26" s="360" t="str">
        <f>IF(AND('Mapa final'!$J$42="Media",'Mapa final'!$N$42="Menor"),CONCATENATE("R",'Mapa final'!$C$42),"")</f>
        <v/>
      </c>
      <c r="U26" s="361"/>
      <c r="V26" s="359" t="e">
        <f>IF(AND('Mapa final'!#REF!="Media",'Mapa final'!#REF!="Moderado"),CONCATENATE("R",'Mapa final'!#REF!),"")</f>
        <v>#REF!</v>
      </c>
      <c r="W26" s="360"/>
      <c r="X26" s="360" t="e">
        <f>IF(AND('Mapa final'!#REF!="Media",'Mapa final'!#REF!="Moderado"),CONCATENATE("R",'Mapa final'!#REF!),"")</f>
        <v>#REF!</v>
      </c>
      <c r="Y26" s="360"/>
      <c r="Z26" s="360" t="str">
        <f>IF(AND('Mapa final'!$J$42="Media",'Mapa final'!$N$42="Moderado"),CONCATENATE("R",'Mapa final'!$C$42),"")</f>
        <v>R33</v>
      </c>
      <c r="AA26" s="361"/>
      <c r="AB26" s="355" t="e">
        <f>IF(AND('Mapa final'!#REF!="Media",'Mapa final'!#REF!="Mayor"),CONCATENATE("R",'Mapa final'!#REF!),"")</f>
        <v>#REF!</v>
      </c>
      <c r="AC26" s="356"/>
      <c r="AD26" s="356" t="e">
        <f>IF(AND('Mapa final'!#REF!="Media",'Mapa final'!#REF!="Mayor"),CONCATENATE("R",'Mapa final'!#REF!),"")</f>
        <v>#REF!</v>
      </c>
      <c r="AE26" s="356"/>
      <c r="AF26" s="356" t="str">
        <f>IF(AND('Mapa final'!$J$42="Media",'Mapa final'!$N$42="Mayor"),CONCATENATE("R",'Mapa final'!$C$42),"")</f>
        <v/>
      </c>
      <c r="AG26" s="358"/>
      <c r="AH26" s="373" t="e">
        <f>IF(AND('Mapa final'!#REF!="Media",'Mapa final'!#REF!="Catastrófico"),CONCATENATE("R",'Mapa final'!#REF!),"")</f>
        <v>#REF!</v>
      </c>
      <c r="AI26" s="374"/>
      <c r="AJ26" s="374" t="e">
        <f>IF(AND('Mapa final'!#REF!="Media",'Mapa final'!#REF!="Catastrófico"),CONCATENATE("R",'Mapa final'!#REF!),"")</f>
        <v>#REF!</v>
      </c>
      <c r="AK26" s="374"/>
      <c r="AL26" s="374" t="str">
        <f>IF(AND('Mapa final'!$J$42="Media",'Mapa final'!$N$42="Catastrófico"),CONCATENATE("R",'Mapa final'!$C$42),"")</f>
        <v/>
      </c>
      <c r="AM26" s="375"/>
      <c r="AN26" s="74"/>
      <c r="AO26" s="329"/>
      <c r="AP26" s="330"/>
      <c r="AQ26" s="330"/>
      <c r="AR26" s="330"/>
      <c r="AS26" s="330"/>
      <c r="AT26" s="331"/>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row>
    <row r="27" spans="1:80" x14ac:dyDescent="0.25">
      <c r="A27" s="74"/>
      <c r="B27" s="306"/>
      <c r="C27" s="306"/>
      <c r="D27" s="307"/>
      <c r="E27" s="347"/>
      <c r="F27" s="348"/>
      <c r="G27" s="348"/>
      <c r="H27" s="348"/>
      <c r="I27" s="349"/>
      <c r="J27" s="359"/>
      <c r="K27" s="360"/>
      <c r="L27" s="360"/>
      <c r="M27" s="360"/>
      <c r="N27" s="360"/>
      <c r="O27" s="361"/>
      <c r="P27" s="359"/>
      <c r="Q27" s="360"/>
      <c r="R27" s="360"/>
      <c r="S27" s="360"/>
      <c r="T27" s="360"/>
      <c r="U27" s="361"/>
      <c r="V27" s="359"/>
      <c r="W27" s="360"/>
      <c r="X27" s="360"/>
      <c r="Y27" s="360"/>
      <c r="Z27" s="360"/>
      <c r="AA27" s="361"/>
      <c r="AB27" s="355"/>
      <c r="AC27" s="356"/>
      <c r="AD27" s="356"/>
      <c r="AE27" s="356"/>
      <c r="AF27" s="356"/>
      <c r="AG27" s="358"/>
      <c r="AH27" s="373"/>
      <c r="AI27" s="374"/>
      <c r="AJ27" s="374"/>
      <c r="AK27" s="374"/>
      <c r="AL27" s="374"/>
      <c r="AM27" s="375"/>
      <c r="AN27" s="74"/>
      <c r="AO27" s="329"/>
      <c r="AP27" s="330"/>
      <c r="AQ27" s="330"/>
      <c r="AR27" s="330"/>
      <c r="AS27" s="330"/>
      <c r="AT27" s="331"/>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row>
    <row r="28" spans="1:80" x14ac:dyDescent="0.25">
      <c r="A28" s="74"/>
      <c r="B28" s="306"/>
      <c r="C28" s="306"/>
      <c r="D28" s="307"/>
      <c r="E28" s="347"/>
      <c r="F28" s="348"/>
      <c r="G28" s="348"/>
      <c r="H28" s="348"/>
      <c r="I28" s="349"/>
      <c r="J28" s="359" t="e">
        <f>IF(AND('Mapa final'!#REF!="Media",'Mapa final'!#REF!="Leve"),CONCATENATE("R",'Mapa final'!#REF!),"")</f>
        <v>#REF!</v>
      </c>
      <c r="K28" s="360"/>
      <c r="L28" s="360" t="str">
        <f>IF(AND('Mapa final'!$J$61="Media",'Mapa final'!$N$61="Leve"),CONCATENATE("R",'Mapa final'!$C$61),"")</f>
        <v/>
      </c>
      <c r="M28" s="360"/>
      <c r="N28" s="360" t="str">
        <f>IF(AND('Mapa final'!$J$66="Media",'Mapa final'!$N$66="Leve"),CONCATENATE("R",'Mapa final'!$C$66),"")</f>
        <v/>
      </c>
      <c r="O28" s="361"/>
      <c r="P28" s="359" t="e">
        <f>IF(AND('Mapa final'!#REF!="Media",'Mapa final'!#REF!="Menor"),CONCATENATE("R",'Mapa final'!#REF!),"")</f>
        <v>#REF!</v>
      </c>
      <c r="Q28" s="360"/>
      <c r="R28" s="360" t="str">
        <f>IF(AND('Mapa final'!$J$61="Media",'Mapa final'!$N$61="Menor"),CONCATENATE("R",'Mapa final'!$C$61),"")</f>
        <v/>
      </c>
      <c r="S28" s="360"/>
      <c r="T28" s="360" t="str">
        <f>IF(AND('Mapa final'!$J$66="Media",'Mapa final'!$N$66="Menor"),CONCATENATE("R",'Mapa final'!$C$66),"")</f>
        <v/>
      </c>
      <c r="U28" s="361"/>
      <c r="V28" s="359" t="e">
        <f>IF(AND('Mapa final'!#REF!="Media",'Mapa final'!#REF!="Moderado"),CONCATENATE("R",'Mapa final'!#REF!),"")</f>
        <v>#REF!</v>
      </c>
      <c r="W28" s="360"/>
      <c r="X28" s="360" t="str">
        <f>IF(AND('Mapa final'!$J$61="Media",'Mapa final'!$N$61="Moderado"),CONCATENATE("R",'Mapa final'!$C$61),"")</f>
        <v/>
      </c>
      <c r="Y28" s="360"/>
      <c r="Z28" s="360" t="str">
        <f>IF(AND('Mapa final'!$J$66="Media",'Mapa final'!$N$66="Moderado"),CONCATENATE("R",'Mapa final'!$C$66),"")</f>
        <v/>
      </c>
      <c r="AA28" s="361"/>
      <c r="AB28" s="355" t="e">
        <f>IF(AND('Mapa final'!#REF!="Media",'Mapa final'!#REF!="Mayor"),CONCATENATE("R",'Mapa final'!#REF!),"")</f>
        <v>#REF!</v>
      </c>
      <c r="AC28" s="356"/>
      <c r="AD28" s="356" t="str">
        <f>IF(AND('Mapa final'!$J$61="Media",'Mapa final'!$N$61="Mayor"),CONCATENATE("R",'Mapa final'!$C$61),"")</f>
        <v/>
      </c>
      <c r="AE28" s="356"/>
      <c r="AF28" s="356" t="str">
        <f>IF(AND('Mapa final'!$J$66="Media",'Mapa final'!$N$66="Mayor"),CONCATENATE("R",'Mapa final'!$C$66),"")</f>
        <v/>
      </c>
      <c r="AG28" s="358"/>
      <c r="AH28" s="373" t="e">
        <f>IF(AND('Mapa final'!#REF!="Media",'Mapa final'!#REF!="Catastrófico"),CONCATENATE("R",'Mapa final'!#REF!),"")</f>
        <v>#REF!</v>
      </c>
      <c r="AI28" s="374"/>
      <c r="AJ28" s="374" t="str">
        <f>IF(AND('Mapa final'!$J$61="Media",'Mapa final'!$N$61="Catastrófico"),CONCATENATE("R",'Mapa final'!$C$61),"")</f>
        <v/>
      </c>
      <c r="AK28" s="374"/>
      <c r="AL28" s="374" t="str">
        <f>IF(AND('Mapa final'!$J$66="Media",'Mapa final'!$N$66="Catastrófico"),CONCATENATE("R",'Mapa final'!$C$66),"")</f>
        <v/>
      </c>
      <c r="AM28" s="375"/>
      <c r="AN28" s="74"/>
      <c r="AO28" s="329"/>
      <c r="AP28" s="330"/>
      <c r="AQ28" s="330"/>
      <c r="AR28" s="330"/>
      <c r="AS28" s="330"/>
      <c r="AT28" s="331"/>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row>
    <row r="29" spans="1:80" ht="15.75" thickBot="1" x14ac:dyDescent="0.3">
      <c r="A29" s="74"/>
      <c r="B29" s="306"/>
      <c r="C29" s="306"/>
      <c r="D29" s="307"/>
      <c r="E29" s="350"/>
      <c r="F29" s="351"/>
      <c r="G29" s="351"/>
      <c r="H29" s="351"/>
      <c r="I29" s="352"/>
      <c r="J29" s="359"/>
      <c r="K29" s="360"/>
      <c r="L29" s="360"/>
      <c r="M29" s="360"/>
      <c r="N29" s="360"/>
      <c r="O29" s="361"/>
      <c r="P29" s="362"/>
      <c r="Q29" s="363"/>
      <c r="R29" s="363"/>
      <c r="S29" s="363"/>
      <c r="T29" s="363"/>
      <c r="U29" s="364"/>
      <c r="V29" s="362"/>
      <c r="W29" s="363"/>
      <c r="X29" s="363"/>
      <c r="Y29" s="363"/>
      <c r="Z29" s="363"/>
      <c r="AA29" s="364"/>
      <c r="AB29" s="370"/>
      <c r="AC29" s="371"/>
      <c r="AD29" s="371"/>
      <c r="AE29" s="371"/>
      <c r="AF29" s="371"/>
      <c r="AG29" s="372"/>
      <c r="AH29" s="376"/>
      <c r="AI29" s="377"/>
      <c r="AJ29" s="377"/>
      <c r="AK29" s="377"/>
      <c r="AL29" s="377"/>
      <c r="AM29" s="378"/>
      <c r="AN29" s="74"/>
      <c r="AO29" s="332"/>
      <c r="AP29" s="333"/>
      <c r="AQ29" s="333"/>
      <c r="AR29" s="333"/>
      <c r="AS29" s="333"/>
      <c r="AT29" s="33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row>
    <row r="30" spans="1:80" x14ac:dyDescent="0.25">
      <c r="A30" s="74"/>
      <c r="B30" s="306"/>
      <c r="C30" s="306"/>
      <c r="D30" s="307"/>
      <c r="E30" s="344" t="s">
        <v>113</v>
      </c>
      <c r="F30" s="345"/>
      <c r="G30" s="345"/>
      <c r="H30" s="345"/>
      <c r="I30" s="345"/>
      <c r="J30" s="388" t="str">
        <f>IF(AND('Mapa final'!$J$9="Baja",'Mapa final'!$N$9="Leve"),CONCATENATE("R",'Mapa final'!$C$9),"")</f>
        <v/>
      </c>
      <c r="K30" s="389"/>
      <c r="L30" s="389" t="str">
        <f>IF(AND('Mapa final'!$J$15="Baja",'Mapa final'!$N$15="Leve"),CONCATENATE("R",'Mapa final'!$C$15),"")</f>
        <v/>
      </c>
      <c r="M30" s="389"/>
      <c r="N30" s="389" t="e">
        <f>IF(AND('Mapa final'!#REF!="Baja",'Mapa final'!#REF!="Leve"),CONCATENATE("R",'Mapa final'!#REF!),"")</f>
        <v>#REF!</v>
      </c>
      <c r="O30" s="390"/>
      <c r="P30" s="366" t="str">
        <f>IF(AND('Mapa final'!$J$9="Baja",'Mapa final'!$N$9="Menor"),CONCATENATE("R",'Mapa final'!$C$9),"")</f>
        <v/>
      </c>
      <c r="Q30" s="366"/>
      <c r="R30" s="366" t="str">
        <f>IF(AND('Mapa final'!$J$15="Baja",'Mapa final'!$N$15="Menor"),CONCATENATE("R",'Mapa final'!$C$15),"")</f>
        <v/>
      </c>
      <c r="S30" s="366"/>
      <c r="T30" s="366" t="e">
        <f>IF(AND('Mapa final'!#REF!="Baja",'Mapa final'!#REF!="Menor"),CONCATENATE("R",'Mapa final'!#REF!),"")</f>
        <v>#REF!</v>
      </c>
      <c r="U30" s="367"/>
      <c r="V30" s="365" t="str">
        <f>IF(AND('Mapa final'!$J$9="Baja",'Mapa final'!$N$9="Moderado"),CONCATENATE("R",'Mapa final'!$C$9),"")</f>
        <v/>
      </c>
      <c r="W30" s="366"/>
      <c r="X30" s="366" t="str">
        <f>IF(AND('Mapa final'!$J$15="Baja",'Mapa final'!$N$15="Moderado"),CONCATENATE("R",'Mapa final'!$C$15),"")</f>
        <v/>
      </c>
      <c r="Y30" s="366"/>
      <c r="Z30" s="366" t="e">
        <f>IF(AND('Mapa final'!#REF!="Baja",'Mapa final'!#REF!="Moderado"),CONCATENATE("R",'Mapa final'!#REF!),"")</f>
        <v>#REF!</v>
      </c>
      <c r="AA30" s="367"/>
      <c r="AB30" s="353" t="str">
        <f>IF(AND('Mapa final'!$J$9="Baja",'Mapa final'!$N$9="Mayor"),CONCATENATE("R",'Mapa final'!$C$9),"")</f>
        <v/>
      </c>
      <c r="AC30" s="354"/>
      <c r="AD30" s="354" t="str">
        <f>IF(AND('Mapa final'!$J$15="Baja",'Mapa final'!$N$15="Mayor"),CONCATENATE("R",'Mapa final'!$C$15),"")</f>
        <v/>
      </c>
      <c r="AE30" s="354"/>
      <c r="AF30" s="354" t="e">
        <f>IF(AND('Mapa final'!#REF!="Baja",'Mapa final'!#REF!="Mayor"),CONCATENATE("R",'Mapa final'!#REF!),"")</f>
        <v>#REF!</v>
      </c>
      <c r="AG30" s="357"/>
      <c r="AH30" s="379" t="str">
        <f>IF(AND('Mapa final'!$J$9="Baja",'Mapa final'!$N$9="Catastrófico"),CONCATENATE("R",'Mapa final'!$C$9),"")</f>
        <v/>
      </c>
      <c r="AI30" s="380"/>
      <c r="AJ30" s="380" t="str">
        <f>IF(AND('Mapa final'!$J$15="Baja",'Mapa final'!$N$15="Catastrófico"),CONCATENATE("R",'Mapa final'!$C$15),"")</f>
        <v/>
      </c>
      <c r="AK30" s="380"/>
      <c r="AL30" s="380" t="e">
        <f>IF(AND('Mapa final'!#REF!="Baja",'Mapa final'!#REF!="Catastrófico"),CONCATENATE("R",'Mapa final'!#REF!),"")</f>
        <v>#REF!</v>
      </c>
      <c r="AM30" s="381"/>
      <c r="AN30" s="74"/>
      <c r="AO30" s="335" t="s">
        <v>81</v>
      </c>
      <c r="AP30" s="336"/>
      <c r="AQ30" s="336"/>
      <c r="AR30" s="336"/>
      <c r="AS30" s="336"/>
      <c r="AT30" s="337"/>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row>
    <row r="31" spans="1:80" x14ac:dyDescent="0.25">
      <c r="A31" s="74"/>
      <c r="B31" s="306"/>
      <c r="C31" s="306"/>
      <c r="D31" s="307"/>
      <c r="E31" s="347"/>
      <c r="F31" s="348"/>
      <c r="G31" s="348"/>
      <c r="H31" s="348"/>
      <c r="I31" s="348"/>
      <c r="J31" s="383"/>
      <c r="K31" s="382"/>
      <c r="L31" s="382"/>
      <c r="M31" s="382"/>
      <c r="N31" s="382"/>
      <c r="O31" s="384"/>
      <c r="P31" s="360"/>
      <c r="Q31" s="360"/>
      <c r="R31" s="360"/>
      <c r="S31" s="360"/>
      <c r="T31" s="360"/>
      <c r="U31" s="361"/>
      <c r="V31" s="359"/>
      <c r="W31" s="360"/>
      <c r="X31" s="360"/>
      <c r="Y31" s="360"/>
      <c r="Z31" s="360"/>
      <c r="AA31" s="361"/>
      <c r="AB31" s="355"/>
      <c r="AC31" s="356"/>
      <c r="AD31" s="356"/>
      <c r="AE31" s="356"/>
      <c r="AF31" s="356"/>
      <c r="AG31" s="358"/>
      <c r="AH31" s="373"/>
      <c r="AI31" s="374"/>
      <c r="AJ31" s="374"/>
      <c r="AK31" s="374"/>
      <c r="AL31" s="374"/>
      <c r="AM31" s="375"/>
      <c r="AN31" s="74"/>
      <c r="AO31" s="338"/>
      <c r="AP31" s="339"/>
      <c r="AQ31" s="339"/>
      <c r="AR31" s="339"/>
      <c r="AS31" s="339"/>
      <c r="AT31" s="340"/>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row>
    <row r="32" spans="1:80" x14ac:dyDescent="0.25">
      <c r="A32" s="74"/>
      <c r="B32" s="306"/>
      <c r="C32" s="306"/>
      <c r="D32" s="307"/>
      <c r="E32" s="347"/>
      <c r="F32" s="348"/>
      <c r="G32" s="348"/>
      <c r="H32" s="348"/>
      <c r="I32" s="348"/>
      <c r="J32" s="383" t="e">
        <f>IF(AND('Mapa final'!#REF!="Baja",'Mapa final'!#REF!="Leve"),CONCATENATE("R",'Mapa final'!#REF!),"")</f>
        <v>#REF!</v>
      </c>
      <c r="K32" s="382"/>
      <c r="L32" s="382" t="e">
        <f>IF(AND('Mapa final'!#REF!="Baja",'Mapa final'!#REF!="Leve"),CONCATENATE("R",'Mapa final'!#REF!),"")</f>
        <v>#REF!</v>
      </c>
      <c r="M32" s="382"/>
      <c r="N32" s="382" t="str">
        <f>IF(AND('Mapa final'!$J$32="Baja",'Mapa final'!$N$32="Leve"),CONCATENATE("R",'Mapa final'!$C$32),"")</f>
        <v/>
      </c>
      <c r="O32" s="384"/>
      <c r="P32" s="360" t="e">
        <f>IF(AND('Mapa final'!#REF!="Baja",'Mapa final'!#REF!="Menor"),CONCATENATE("R",'Mapa final'!#REF!),"")</f>
        <v>#REF!</v>
      </c>
      <c r="Q32" s="360"/>
      <c r="R32" s="360" t="e">
        <f>IF(AND('Mapa final'!#REF!="Baja",'Mapa final'!#REF!="Menor"),CONCATENATE("R",'Mapa final'!#REF!),"")</f>
        <v>#REF!</v>
      </c>
      <c r="S32" s="360"/>
      <c r="T32" s="360" t="str">
        <f>IF(AND('Mapa final'!$J$32="Baja",'Mapa final'!$N$32="Menor"),CONCATENATE("R",'Mapa final'!$C$32),"")</f>
        <v/>
      </c>
      <c r="U32" s="361"/>
      <c r="V32" s="359" t="e">
        <f>IF(AND('Mapa final'!#REF!="Baja",'Mapa final'!#REF!="Moderado"),CONCATENATE("R",'Mapa final'!#REF!),"")</f>
        <v>#REF!</v>
      </c>
      <c r="W32" s="360"/>
      <c r="X32" s="360" t="e">
        <f>IF(AND('Mapa final'!#REF!="Baja",'Mapa final'!#REF!="Moderado"),CONCATENATE("R",'Mapa final'!#REF!),"")</f>
        <v>#REF!</v>
      </c>
      <c r="Y32" s="360"/>
      <c r="Z32" s="360" t="str">
        <f>IF(AND('Mapa final'!$J$32="Baja",'Mapa final'!$N$32="Moderado"),CONCATENATE("R",'Mapa final'!$C$32),"")</f>
        <v/>
      </c>
      <c r="AA32" s="361"/>
      <c r="AB32" s="355" t="e">
        <f>IF(AND('Mapa final'!#REF!="Baja",'Mapa final'!#REF!="Mayor"),CONCATENATE("R",'Mapa final'!#REF!),"")</f>
        <v>#REF!</v>
      </c>
      <c r="AC32" s="356"/>
      <c r="AD32" s="356" t="e">
        <f>IF(AND('Mapa final'!#REF!="Baja",'Mapa final'!#REF!="Mayor"),CONCATENATE("R",'Mapa final'!#REF!),"")</f>
        <v>#REF!</v>
      </c>
      <c r="AE32" s="356"/>
      <c r="AF32" s="356" t="str">
        <f>IF(AND('Mapa final'!$J$32="Baja",'Mapa final'!$N$32="Mayor"),CONCATENATE("R",'Mapa final'!$C$32),"")</f>
        <v/>
      </c>
      <c r="AG32" s="358"/>
      <c r="AH32" s="373" t="e">
        <f>IF(AND('Mapa final'!#REF!="Baja",'Mapa final'!#REF!="Catastrófico"),CONCATENATE("R",'Mapa final'!#REF!),"")</f>
        <v>#REF!</v>
      </c>
      <c r="AI32" s="374"/>
      <c r="AJ32" s="374" t="e">
        <f>IF(AND('Mapa final'!#REF!="Baja",'Mapa final'!#REF!="Catastrófico"),CONCATENATE("R",'Mapa final'!#REF!),"")</f>
        <v>#REF!</v>
      </c>
      <c r="AK32" s="374"/>
      <c r="AL32" s="374" t="str">
        <f>IF(AND('Mapa final'!$J$32="Baja",'Mapa final'!$N$32="Catastrófico"),CONCATENATE("R",'Mapa final'!$C$32),"")</f>
        <v/>
      </c>
      <c r="AM32" s="375"/>
      <c r="AN32" s="74"/>
      <c r="AO32" s="338"/>
      <c r="AP32" s="339"/>
      <c r="AQ32" s="339"/>
      <c r="AR32" s="339"/>
      <c r="AS32" s="339"/>
      <c r="AT32" s="340"/>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row>
    <row r="33" spans="1:80" x14ac:dyDescent="0.25">
      <c r="A33" s="74"/>
      <c r="B33" s="306"/>
      <c r="C33" s="306"/>
      <c r="D33" s="307"/>
      <c r="E33" s="347"/>
      <c r="F33" s="348"/>
      <c r="G33" s="348"/>
      <c r="H33" s="348"/>
      <c r="I33" s="348"/>
      <c r="J33" s="383"/>
      <c r="K33" s="382"/>
      <c r="L33" s="382"/>
      <c r="M33" s="382"/>
      <c r="N33" s="382"/>
      <c r="O33" s="384"/>
      <c r="P33" s="360"/>
      <c r="Q33" s="360"/>
      <c r="R33" s="360"/>
      <c r="S33" s="360"/>
      <c r="T33" s="360"/>
      <c r="U33" s="361"/>
      <c r="V33" s="359"/>
      <c r="W33" s="360"/>
      <c r="X33" s="360"/>
      <c r="Y33" s="360"/>
      <c r="Z33" s="360"/>
      <c r="AA33" s="361"/>
      <c r="AB33" s="355"/>
      <c r="AC33" s="356"/>
      <c r="AD33" s="356"/>
      <c r="AE33" s="356"/>
      <c r="AF33" s="356"/>
      <c r="AG33" s="358"/>
      <c r="AH33" s="373"/>
      <c r="AI33" s="374"/>
      <c r="AJ33" s="374"/>
      <c r="AK33" s="374"/>
      <c r="AL33" s="374"/>
      <c r="AM33" s="375"/>
      <c r="AN33" s="74"/>
      <c r="AO33" s="338"/>
      <c r="AP33" s="339"/>
      <c r="AQ33" s="339"/>
      <c r="AR33" s="339"/>
      <c r="AS33" s="339"/>
      <c r="AT33" s="340"/>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row>
    <row r="34" spans="1:80" x14ac:dyDescent="0.25">
      <c r="A34" s="74"/>
      <c r="B34" s="306"/>
      <c r="C34" s="306"/>
      <c r="D34" s="307"/>
      <c r="E34" s="347"/>
      <c r="F34" s="348"/>
      <c r="G34" s="348"/>
      <c r="H34" s="348"/>
      <c r="I34" s="348"/>
      <c r="J34" s="383" t="e">
        <f>IF(AND('Mapa final'!#REF!="Baja",'Mapa final'!#REF!="Leve"),CONCATENATE("R",'Mapa final'!#REF!),"")</f>
        <v>#REF!</v>
      </c>
      <c r="K34" s="382"/>
      <c r="L34" s="382" t="e">
        <f>IF(AND('Mapa final'!#REF!="Baja",'Mapa final'!#REF!="Leve"),CONCATENATE("R",'Mapa final'!#REF!),"")</f>
        <v>#REF!</v>
      </c>
      <c r="M34" s="382"/>
      <c r="N34" s="382" t="str">
        <f>IF(AND('Mapa final'!$J$42="Baja",'Mapa final'!$N$42="Leve"),CONCATENATE("R",'Mapa final'!$C$42),"")</f>
        <v/>
      </c>
      <c r="O34" s="384"/>
      <c r="P34" s="360" t="e">
        <f>IF(AND('Mapa final'!#REF!="Baja",'Mapa final'!#REF!="Menor"),CONCATENATE("R",'Mapa final'!#REF!),"")</f>
        <v>#REF!</v>
      </c>
      <c r="Q34" s="360"/>
      <c r="R34" s="360" t="e">
        <f>IF(AND('Mapa final'!#REF!="Baja",'Mapa final'!#REF!="Menor"),CONCATENATE("R",'Mapa final'!#REF!),"")</f>
        <v>#REF!</v>
      </c>
      <c r="S34" s="360"/>
      <c r="T34" s="360" t="str">
        <f>IF(AND('Mapa final'!$J$42="Baja",'Mapa final'!$N$42="Menor"),CONCATENATE("R",'Mapa final'!$C$42),"")</f>
        <v/>
      </c>
      <c r="U34" s="361"/>
      <c r="V34" s="359" t="e">
        <f>IF(AND('Mapa final'!#REF!="Baja",'Mapa final'!#REF!="Moderado"),CONCATENATE("R",'Mapa final'!#REF!),"")</f>
        <v>#REF!</v>
      </c>
      <c r="W34" s="360"/>
      <c r="X34" s="360" t="e">
        <f>IF(AND('Mapa final'!#REF!="Baja",'Mapa final'!#REF!="Moderado"),CONCATENATE("R",'Mapa final'!#REF!),"")</f>
        <v>#REF!</v>
      </c>
      <c r="Y34" s="360"/>
      <c r="Z34" s="360" t="str">
        <f>IF(AND('Mapa final'!$J$42="Baja",'Mapa final'!$N$42="Moderado"),CONCATENATE("R",'Mapa final'!$C$42),"")</f>
        <v/>
      </c>
      <c r="AA34" s="361"/>
      <c r="AB34" s="355" t="e">
        <f>IF(AND('Mapa final'!#REF!="Baja",'Mapa final'!#REF!="Mayor"),CONCATENATE("R",'Mapa final'!#REF!),"")</f>
        <v>#REF!</v>
      </c>
      <c r="AC34" s="356"/>
      <c r="AD34" s="356" t="e">
        <f>IF(AND('Mapa final'!#REF!="Baja",'Mapa final'!#REF!="Mayor"),CONCATENATE("R",'Mapa final'!#REF!),"")</f>
        <v>#REF!</v>
      </c>
      <c r="AE34" s="356"/>
      <c r="AF34" s="356" t="str">
        <f>IF(AND('Mapa final'!$J$42="Baja",'Mapa final'!$N$42="Mayor"),CONCATENATE("R",'Mapa final'!$C$42),"")</f>
        <v/>
      </c>
      <c r="AG34" s="358"/>
      <c r="AH34" s="373" t="e">
        <f>IF(AND('Mapa final'!#REF!="Baja",'Mapa final'!#REF!="Catastrófico"),CONCATENATE("R",'Mapa final'!#REF!),"")</f>
        <v>#REF!</v>
      </c>
      <c r="AI34" s="374"/>
      <c r="AJ34" s="374" t="e">
        <f>IF(AND('Mapa final'!#REF!="Baja",'Mapa final'!#REF!="Catastrófico"),CONCATENATE("R",'Mapa final'!#REF!),"")</f>
        <v>#REF!</v>
      </c>
      <c r="AK34" s="374"/>
      <c r="AL34" s="374" t="str">
        <f>IF(AND('Mapa final'!$J$42="Baja",'Mapa final'!$N$42="Catastrófico"),CONCATENATE("R",'Mapa final'!$C$42),"")</f>
        <v/>
      </c>
      <c r="AM34" s="375"/>
      <c r="AN34" s="74"/>
      <c r="AO34" s="338"/>
      <c r="AP34" s="339"/>
      <c r="AQ34" s="339"/>
      <c r="AR34" s="339"/>
      <c r="AS34" s="339"/>
      <c r="AT34" s="340"/>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row>
    <row r="35" spans="1:80" x14ac:dyDescent="0.25">
      <c r="A35" s="74"/>
      <c r="B35" s="306"/>
      <c r="C35" s="306"/>
      <c r="D35" s="307"/>
      <c r="E35" s="347"/>
      <c r="F35" s="348"/>
      <c r="G35" s="348"/>
      <c r="H35" s="348"/>
      <c r="I35" s="348"/>
      <c r="J35" s="383"/>
      <c r="K35" s="382"/>
      <c r="L35" s="382"/>
      <c r="M35" s="382"/>
      <c r="N35" s="382"/>
      <c r="O35" s="384"/>
      <c r="P35" s="360"/>
      <c r="Q35" s="360"/>
      <c r="R35" s="360"/>
      <c r="S35" s="360"/>
      <c r="T35" s="360"/>
      <c r="U35" s="361"/>
      <c r="V35" s="359"/>
      <c r="W35" s="360"/>
      <c r="X35" s="360"/>
      <c r="Y35" s="360"/>
      <c r="Z35" s="360"/>
      <c r="AA35" s="361"/>
      <c r="AB35" s="355"/>
      <c r="AC35" s="356"/>
      <c r="AD35" s="356"/>
      <c r="AE35" s="356"/>
      <c r="AF35" s="356"/>
      <c r="AG35" s="358"/>
      <c r="AH35" s="373"/>
      <c r="AI35" s="374"/>
      <c r="AJ35" s="374"/>
      <c r="AK35" s="374"/>
      <c r="AL35" s="374"/>
      <c r="AM35" s="375"/>
      <c r="AN35" s="74"/>
      <c r="AO35" s="338"/>
      <c r="AP35" s="339"/>
      <c r="AQ35" s="339"/>
      <c r="AR35" s="339"/>
      <c r="AS35" s="339"/>
      <c r="AT35" s="340"/>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row>
    <row r="36" spans="1:80" x14ac:dyDescent="0.25">
      <c r="A36" s="74"/>
      <c r="B36" s="306"/>
      <c r="C36" s="306"/>
      <c r="D36" s="307"/>
      <c r="E36" s="347"/>
      <c r="F36" s="348"/>
      <c r="G36" s="348"/>
      <c r="H36" s="348"/>
      <c r="I36" s="348"/>
      <c r="J36" s="383" t="e">
        <f>IF(AND('Mapa final'!#REF!="Baja",'Mapa final'!#REF!="Leve"),CONCATENATE("R",'Mapa final'!#REF!),"")</f>
        <v>#REF!</v>
      </c>
      <c r="K36" s="382"/>
      <c r="L36" s="382" t="str">
        <f>IF(AND('Mapa final'!$J$61="Baja",'Mapa final'!$N$61="Leve"),CONCATENATE("R",'Mapa final'!$C$61),"")</f>
        <v/>
      </c>
      <c r="M36" s="382"/>
      <c r="N36" s="382" t="str">
        <f>IF(AND('Mapa final'!$J$66="Baja",'Mapa final'!$N$66="Leve"),CONCATENATE("R",'Mapa final'!$C$66),"")</f>
        <v/>
      </c>
      <c r="O36" s="384"/>
      <c r="P36" s="360" t="e">
        <f>IF(AND('Mapa final'!#REF!="Baja",'Mapa final'!#REF!="Menor"),CONCATENATE("R",'Mapa final'!#REF!),"")</f>
        <v>#REF!</v>
      </c>
      <c r="Q36" s="360"/>
      <c r="R36" s="360" t="str">
        <f>IF(AND('Mapa final'!$J$61="Baja",'Mapa final'!$N$61="Menor"),CONCATENATE("R",'Mapa final'!$C$61),"")</f>
        <v/>
      </c>
      <c r="S36" s="360"/>
      <c r="T36" s="360" t="str">
        <f>IF(AND('Mapa final'!$J$66="Baja",'Mapa final'!$N$66="Menor"),CONCATENATE("R",'Mapa final'!$C$66),"")</f>
        <v/>
      </c>
      <c r="U36" s="361"/>
      <c r="V36" s="359" t="e">
        <f>IF(AND('Mapa final'!#REF!="Baja",'Mapa final'!#REF!="Moderado"),CONCATENATE("R",'Mapa final'!#REF!),"")</f>
        <v>#REF!</v>
      </c>
      <c r="W36" s="360"/>
      <c r="X36" s="360" t="str">
        <f>IF(AND('Mapa final'!$J$61="Baja",'Mapa final'!$N$61="Moderado"),CONCATENATE("R",'Mapa final'!$C$61),"")</f>
        <v/>
      </c>
      <c r="Y36" s="360"/>
      <c r="Z36" s="360" t="str">
        <f>IF(AND('Mapa final'!$J$66="Baja",'Mapa final'!$N$66="Moderado"),CONCATENATE("R",'Mapa final'!$C$66),"")</f>
        <v/>
      </c>
      <c r="AA36" s="361"/>
      <c r="AB36" s="355" t="e">
        <f>IF(AND('Mapa final'!#REF!="Baja",'Mapa final'!#REF!="Mayor"),CONCATENATE("R",'Mapa final'!#REF!),"")</f>
        <v>#REF!</v>
      </c>
      <c r="AC36" s="356"/>
      <c r="AD36" s="356" t="str">
        <f>IF(AND('Mapa final'!$J$61="Baja",'Mapa final'!$N$61="Mayor"),CONCATENATE("R",'Mapa final'!$C$61),"")</f>
        <v/>
      </c>
      <c r="AE36" s="356"/>
      <c r="AF36" s="356" t="str">
        <f>IF(AND('Mapa final'!$J$66="Baja",'Mapa final'!$N$66="Mayor"),CONCATENATE("R",'Mapa final'!$C$66),"")</f>
        <v/>
      </c>
      <c r="AG36" s="358"/>
      <c r="AH36" s="373" t="e">
        <f>IF(AND('Mapa final'!#REF!="Baja",'Mapa final'!#REF!="Catastrófico"),CONCATENATE("R",'Mapa final'!#REF!),"")</f>
        <v>#REF!</v>
      </c>
      <c r="AI36" s="374"/>
      <c r="AJ36" s="374" t="str">
        <f>IF(AND('Mapa final'!$J$61="Baja",'Mapa final'!$N$61="Catastrófico"),CONCATENATE("R",'Mapa final'!$C$61),"")</f>
        <v/>
      </c>
      <c r="AK36" s="374"/>
      <c r="AL36" s="374" t="str">
        <f>IF(AND('Mapa final'!$J$66="Baja",'Mapa final'!$N$66="Catastrófico"),CONCATENATE("R",'Mapa final'!$C$66),"")</f>
        <v/>
      </c>
      <c r="AM36" s="375"/>
      <c r="AN36" s="74"/>
      <c r="AO36" s="338"/>
      <c r="AP36" s="339"/>
      <c r="AQ36" s="339"/>
      <c r="AR36" s="339"/>
      <c r="AS36" s="339"/>
      <c r="AT36" s="340"/>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row>
    <row r="37" spans="1:80" ht="15.75" thickBot="1" x14ac:dyDescent="0.3">
      <c r="A37" s="74"/>
      <c r="B37" s="306"/>
      <c r="C37" s="306"/>
      <c r="D37" s="307"/>
      <c r="E37" s="350"/>
      <c r="F37" s="351"/>
      <c r="G37" s="351"/>
      <c r="H37" s="351"/>
      <c r="I37" s="351"/>
      <c r="J37" s="385"/>
      <c r="K37" s="386"/>
      <c r="L37" s="386"/>
      <c r="M37" s="386"/>
      <c r="N37" s="386"/>
      <c r="O37" s="387"/>
      <c r="P37" s="363"/>
      <c r="Q37" s="363"/>
      <c r="R37" s="363"/>
      <c r="S37" s="363"/>
      <c r="T37" s="363"/>
      <c r="U37" s="364"/>
      <c r="V37" s="362"/>
      <c r="W37" s="363"/>
      <c r="X37" s="363"/>
      <c r="Y37" s="363"/>
      <c r="Z37" s="363"/>
      <c r="AA37" s="364"/>
      <c r="AB37" s="370"/>
      <c r="AC37" s="371"/>
      <c r="AD37" s="371"/>
      <c r="AE37" s="371"/>
      <c r="AF37" s="371"/>
      <c r="AG37" s="372"/>
      <c r="AH37" s="376"/>
      <c r="AI37" s="377"/>
      <c r="AJ37" s="377"/>
      <c r="AK37" s="377"/>
      <c r="AL37" s="377"/>
      <c r="AM37" s="378"/>
      <c r="AN37" s="74"/>
      <c r="AO37" s="341"/>
      <c r="AP37" s="342"/>
      <c r="AQ37" s="342"/>
      <c r="AR37" s="342"/>
      <c r="AS37" s="342"/>
      <c r="AT37" s="343"/>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row>
    <row r="38" spans="1:80" x14ac:dyDescent="0.25">
      <c r="A38" s="74"/>
      <c r="B38" s="306"/>
      <c r="C38" s="306"/>
      <c r="D38" s="307"/>
      <c r="E38" s="344" t="s">
        <v>112</v>
      </c>
      <c r="F38" s="345"/>
      <c r="G38" s="345"/>
      <c r="H38" s="345"/>
      <c r="I38" s="346"/>
      <c r="J38" s="388" t="str">
        <f>IF(AND('Mapa final'!$J$9="Muy Baja",'Mapa final'!$N$9="Leve"),CONCATENATE("R",'Mapa final'!$C$9),"")</f>
        <v/>
      </c>
      <c r="K38" s="389"/>
      <c r="L38" s="389" t="str">
        <f>IF(AND('Mapa final'!$J$15="Muy Baja",'Mapa final'!$N$15="Leve"),CONCATENATE("R",'Mapa final'!$C$15),"")</f>
        <v/>
      </c>
      <c r="M38" s="389"/>
      <c r="N38" s="389" t="e">
        <f>IF(AND('Mapa final'!#REF!="Muy Baja",'Mapa final'!#REF!="Leve"),CONCATENATE("R",'Mapa final'!#REF!),"")</f>
        <v>#REF!</v>
      </c>
      <c r="O38" s="390"/>
      <c r="P38" s="388" t="str">
        <f>IF(AND('Mapa final'!$J$9="Muy Baja",'Mapa final'!$N$9="Menor"),CONCATENATE("R",'Mapa final'!$C$9),"")</f>
        <v/>
      </c>
      <c r="Q38" s="389"/>
      <c r="R38" s="389" t="str">
        <f>IF(AND('Mapa final'!$J$15="Muy Baja",'Mapa final'!$N$15="Menor"),CONCATENATE("R",'Mapa final'!$C$15),"")</f>
        <v/>
      </c>
      <c r="S38" s="389"/>
      <c r="T38" s="389" t="e">
        <f>IF(AND('Mapa final'!#REF!="Muy Baja",'Mapa final'!#REF!="Menor"),CONCATENATE("R",'Mapa final'!#REF!),"")</f>
        <v>#REF!</v>
      </c>
      <c r="U38" s="390"/>
      <c r="V38" s="365" t="str">
        <f>IF(AND('Mapa final'!$J$9="Muy Baja",'Mapa final'!$N$9="Moderado"),CONCATENATE("R",'Mapa final'!$C$9),"")</f>
        <v/>
      </c>
      <c r="W38" s="366"/>
      <c r="X38" s="366" t="str">
        <f>IF(AND('Mapa final'!$J$15="Muy Baja",'Mapa final'!$N$15="Moderado"),CONCATENATE("R",'Mapa final'!$C$15),"")</f>
        <v/>
      </c>
      <c r="Y38" s="366"/>
      <c r="Z38" s="366" t="e">
        <f>IF(AND('Mapa final'!#REF!="Muy Baja",'Mapa final'!#REF!="Moderado"),CONCATENATE("R",'Mapa final'!#REF!),"")</f>
        <v>#REF!</v>
      </c>
      <c r="AA38" s="367"/>
      <c r="AB38" s="353" t="str">
        <f>IF(AND('Mapa final'!$J$9="Muy Baja",'Mapa final'!$N$9="Mayor"),CONCATENATE("R",'Mapa final'!$C$9),"")</f>
        <v/>
      </c>
      <c r="AC38" s="354"/>
      <c r="AD38" s="354" t="str">
        <f>IF(AND('Mapa final'!$J$15="Muy Baja",'Mapa final'!$N$15="Mayor"),CONCATENATE("R",'Mapa final'!$C$15),"")</f>
        <v/>
      </c>
      <c r="AE38" s="354"/>
      <c r="AF38" s="354" t="e">
        <f>IF(AND('Mapa final'!#REF!="Muy Baja",'Mapa final'!#REF!="Mayor"),CONCATENATE("R",'Mapa final'!#REF!),"")</f>
        <v>#REF!</v>
      </c>
      <c r="AG38" s="357"/>
      <c r="AH38" s="379" t="str">
        <f>IF(AND('Mapa final'!$J$9="Muy Baja",'Mapa final'!$N$9="Catastrófico"),CONCATENATE("R",'Mapa final'!$C$9),"")</f>
        <v/>
      </c>
      <c r="AI38" s="380"/>
      <c r="AJ38" s="380" t="str">
        <f>IF(AND('Mapa final'!$J$15="Muy Baja",'Mapa final'!$N$15="Catastrófico"),CONCATENATE("R",'Mapa final'!$C$15),"")</f>
        <v/>
      </c>
      <c r="AK38" s="380"/>
      <c r="AL38" s="380" t="e">
        <f>IF(AND('Mapa final'!#REF!="Muy Baja",'Mapa final'!#REF!="Catastrófico"),CONCATENATE("R",'Mapa final'!#REF!),"")</f>
        <v>#REF!</v>
      </c>
      <c r="AM38" s="381"/>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row>
    <row r="39" spans="1:80" x14ac:dyDescent="0.25">
      <c r="A39" s="74"/>
      <c r="B39" s="306"/>
      <c r="C39" s="306"/>
      <c r="D39" s="307"/>
      <c r="E39" s="347"/>
      <c r="F39" s="348"/>
      <c r="G39" s="348"/>
      <c r="H39" s="348"/>
      <c r="I39" s="349"/>
      <c r="J39" s="383"/>
      <c r="K39" s="382"/>
      <c r="L39" s="382"/>
      <c r="M39" s="382"/>
      <c r="N39" s="382"/>
      <c r="O39" s="384"/>
      <c r="P39" s="383"/>
      <c r="Q39" s="382"/>
      <c r="R39" s="382"/>
      <c r="S39" s="382"/>
      <c r="T39" s="382"/>
      <c r="U39" s="384"/>
      <c r="V39" s="359"/>
      <c r="W39" s="360"/>
      <c r="X39" s="360"/>
      <c r="Y39" s="360"/>
      <c r="Z39" s="360"/>
      <c r="AA39" s="361"/>
      <c r="AB39" s="355"/>
      <c r="AC39" s="356"/>
      <c r="AD39" s="356"/>
      <c r="AE39" s="356"/>
      <c r="AF39" s="356"/>
      <c r="AG39" s="358"/>
      <c r="AH39" s="373"/>
      <c r="AI39" s="374"/>
      <c r="AJ39" s="374"/>
      <c r="AK39" s="374"/>
      <c r="AL39" s="374"/>
      <c r="AM39" s="375"/>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row>
    <row r="40" spans="1:80" x14ac:dyDescent="0.25">
      <c r="A40" s="74"/>
      <c r="B40" s="306"/>
      <c r="C40" s="306"/>
      <c r="D40" s="307"/>
      <c r="E40" s="347"/>
      <c r="F40" s="348"/>
      <c r="G40" s="348"/>
      <c r="H40" s="348"/>
      <c r="I40" s="349"/>
      <c r="J40" s="383" t="e">
        <f>IF(AND('Mapa final'!#REF!="Muy Baja",'Mapa final'!#REF!="Leve"),CONCATENATE("R",'Mapa final'!#REF!),"")</f>
        <v>#REF!</v>
      </c>
      <c r="K40" s="382"/>
      <c r="L40" s="382" t="e">
        <f>IF(AND('Mapa final'!#REF!="Muy Baja",'Mapa final'!#REF!="Leve"),CONCATENATE("R",'Mapa final'!#REF!),"")</f>
        <v>#REF!</v>
      </c>
      <c r="M40" s="382"/>
      <c r="N40" s="382" t="str">
        <f>IF(AND('Mapa final'!$J$32="Muy Baja",'Mapa final'!$N$32="Leve"),CONCATENATE("R",'Mapa final'!$C$32),"")</f>
        <v/>
      </c>
      <c r="O40" s="384"/>
      <c r="P40" s="383" t="e">
        <f>IF(AND('Mapa final'!#REF!="Muy Baja",'Mapa final'!#REF!="Menor"),CONCATENATE("R",'Mapa final'!#REF!),"")</f>
        <v>#REF!</v>
      </c>
      <c r="Q40" s="382"/>
      <c r="R40" s="382" t="e">
        <f>IF(AND('Mapa final'!#REF!="Muy Baja",'Mapa final'!#REF!="Menor"),CONCATENATE("R",'Mapa final'!#REF!),"")</f>
        <v>#REF!</v>
      </c>
      <c r="S40" s="382"/>
      <c r="T40" s="382" t="str">
        <f>IF(AND('Mapa final'!$J$32="Muy Baja",'Mapa final'!$N$32="Menor"),CONCATENATE("R",'Mapa final'!$C$32),"")</f>
        <v/>
      </c>
      <c r="U40" s="384"/>
      <c r="V40" s="359" t="e">
        <f>IF(AND('Mapa final'!#REF!="Muy Baja",'Mapa final'!#REF!="Moderado"),CONCATENATE("R",'Mapa final'!#REF!),"")</f>
        <v>#REF!</v>
      </c>
      <c r="W40" s="360"/>
      <c r="X40" s="360" t="e">
        <f>IF(AND('Mapa final'!#REF!="Muy Baja",'Mapa final'!#REF!="Moderado"),CONCATENATE("R",'Mapa final'!#REF!),"")</f>
        <v>#REF!</v>
      </c>
      <c r="Y40" s="360"/>
      <c r="Z40" s="360" t="str">
        <f>IF(AND('Mapa final'!$J$32="Muy Baja",'Mapa final'!$N$32="Moderado"),CONCATENATE("R",'Mapa final'!$C$32),"")</f>
        <v/>
      </c>
      <c r="AA40" s="361"/>
      <c r="AB40" s="355" t="e">
        <f>IF(AND('Mapa final'!#REF!="Muy Baja",'Mapa final'!#REF!="Mayor"),CONCATENATE("R",'Mapa final'!#REF!),"")</f>
        <v>#REF!</v>
      </c>
      <c r="AC40" s="356"/>
      <c r="AD40" s="356" t="e">
        <f>IF(AND('Mapa final'!#REF!="Muy Baja",'Mapa final'!#REF!="Mayor"),CONCATENATE("R",'Mapa final'!#REF!),"")</f>
        <v>#REF!</v>
      </c>
      <c r="AE40" s="356"/>
      <c r="AF40" s="356" t="str">
        <f>IF(AND('Mapa final'!$J$32="Muy Baja",'Mapa final'!$N$32="Mayor"),CONCATENATE("R",'Mapa final'!$C$32),"")</f>
        <v/>
      </c>
      <c r="AG40" s="358"/>
      <c r="AH40" s="373" t="e">
        <f>IF(AND('Mapa final'!#REF!="Muy Baja",'Mapa final'!#REF!="Catastrófico"),CONCATENATE("R",'Mapa final'!#REF!),"")</f>
        <v>#REF!</v>
      </c>
      <c r="AI40" s="374"/>
      <c r="AJ40" s="374" t="e">
        <f>IF(AND('Mapa final'!#REF!="Muy Baja",'Mapa final'!#REF!="Catastrófico"),CONCATENATE("R",'Mapa final'!#REF!),"")</f>
        <v>#REF!</v>
      </c>
      <c r="AK40" s="374"/>
      <c r="AL40" s="374" t="str">
        <f>IF(AND('Mapa final'!$J$32="Muy Baja",'Mapa final'!$N$32="Catastrófico"),CONCATENATE("R",'Mapa final'!$C$32),"")</f>
        <v/>
      </c>
      <c r="AM40" s="375"/>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row>
    <row r="41" spans="1:80" x14ac:dyDescent="0.25">
      <c r="A41" s="74"/>
      <c r="B41" s="306"/>
      <c r="C41" s="306"/>
      <c r="D41" s="307"/>
      <c r="E41" s="347"/>
      <c r="F41" s="348"/>
      <c r="G41" s="348"/>
      <c r="H41" s="348"/>
      <c r="I41" s="349"/>
      <c r="J41" s="383"/>
      <c r="K41" s="382"/>
      <c r="L41" s="382"/>
      <c r="M41" s="382"/>
      <c r="N41" s="382"/>
      <c r="O41" s="384"/>
      <c r="P41" s="383"/>
      <c r="Q41" s="382"/>
      <c r="R41" s="382"/>
      <c r="S41" s="382"/>
      <c r="T41" s="382"/>
      <c r="U41" s="384"/>
      <c r="V41" s="359"/>
      <c r="W41" s="360"/>
      <c r="X41" s="360"/>
      <c r="Y41" s="360"/>
      <c r="Z41" s="360"/>
      <c r="AA41" s="361"/>
      <c r="AB41" s="355"/>
      <c r="AC41" s="356"/>
      <c r="AD41" s="356"/>
      <c r="AE41" s="356"/>
      <c r="AF41" s="356"/>
      <c r="AG41" s="358"/>
      <c r="AH41" s="373"/>
      <c r="AI41" s="374"/>
      <c r="AJ41" s="374"/>
      <c r="AK41" s="374"/>
      <c r="AL41" s="374"/>
      <c r="AM41" s="375"/>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row>
    <row r="42" spans="1:80" x14ac:dyDescent="0.25">
      <c r="A42" s="74"/>
      <c r="B42" s="306"/>
      <c r="C42" s="306"/>
      <c r="D42" s="307"/>
      <c r="E42" s="347"/>
      <c r="F42" s="348"/>
      <c r="G42" s="348"/>
      <c r="H42" s="348"/>
      <c r="I42" s="349"/>
      <c r="J42" s="383" t="e">
        <f>IF(AND('Mapa final'!#REF!="Muy Baja",'Mapa final'!#REF!="Leve"),CONCATENATE("R",'Mapa final'!#REF!),"")</f>
        <v>#REF!</v>
      </c>
      <c r="K42" s="382"/>
      <c r="L42" s="382" t="e">
        <f>IF(AND('Mapa final'!#REF!="Muy Baja",'Mapa final'!#REF!="Leve"),CONCATENATE("R",'Mapa final'!#REF!),"")</f>
        <v>#REF!</v>
      </c>
      <c r="M42" s="382"/>
      <c r="N42" s="382" t="str">
        <f>IF(AND('Mapa final'!$J$42="Muy Baja",'Mapa final'!$N$42="Leve"),CONCATENATE("R",'Mapa final'!$C$42),"")</f>
        <v/>
      </c>
      <c r="O42" s="384"/>
      <c r="P42" s="383" t="e">
        <f>IF(AND('Mapa final'!#REF!="Muy Baja",'Mapa final'!#REF!="Menor"),CONCATENATE("R",'Mapa final'!#REF!),"")</f>
        <v>#REF!</v>
      </c>
      <c r="Q42" s="382"/>
      <c r="R42" s="382" t="e">
        <f>IF(AND('Mapa final'!#REF!="Muy Baja",'Mapa final'!#REF!="Menor"),CONCATENATE("R",'Mapa final'!#REF!),"")</f>
        <v>#REF!</v>
      </c>
      <c r="S42" s="382"/>
      <c r="T42" s="382" t="str">
        <f>IF(AND('Mapa final'!$J$42="Muy Baja",'Mapa final'!$N$42="Menor"),CONCATENATE("R",'Mapa final'!$C$42),"")</f>
        <v/>
      </c>
      <c r="U42" s="384"/>
      <c r="V42" s="359" t="e">
        <f>IF(AND('Mapa final'!#REF!="Muy Baja",'Mapa final'!#REF!="Moderado"),CONCATENATE("R",'Mapa final'!#REF!),"")</f>
        <v>#REF!</v>
      </c>
      <c r="W42" s="360"/>
      <c r="X42" s="360" t="e">
        <f>IF(AND('Mapa final'!#REF!="Muy Baja",'Mapa final'!#REF!="Moderado"),CONCATENATE("R",'Mapa final'!#REF!),"")</f>
        <v>#REF!</v>
      </c>
      <c r="Y42" s="360"/>
      <c r="Z42" s="360" t="str">
        <f>IF(AND('Mapa final'!$J$42="Muy Baja",'Mapa final'!$N$42="Moderado"),CONCATENATE("R",'Mapa final'!$C$42),"")</f>
        <v/>
      </c>
      <c r="AA42" s="361"/>
      <c r="AB42" s="355" t="e">
        <f>IF(AND('Mapa final'!#REF!="Muy Baja",'Mapa final'!#REF!="Mayor"),CONCATENATE("R",'Mapa final'!#REF!),"")</f>
        <v>#REF!</v>
      </c>
      <c r="AC42" s="356"/>
      <c r="AD42" s="356" t="e">
        <f>IF(AND('Mapa final'!#REF!="Muy Baja",'Mapa final'!#REF!="Mayor"),CONCATENATE("R",'Mapa final'!#REF!),"")</f>
        <v>#REF!</v>
      </c>
      <c r="AE42" s="356"/>
      <c r="AF42" s="356" t="str">
        <f>IF(AND('Mapa final'!$J$42="Muy Baja",'Mapa final'!$N$42="Mayor"),CONCATENATE("R",'Mapa final'!$C$42),"")</f>
        <v/>
      </c>
      <c r="AG42" s="358"/>
      <c r="AH42" s="373" t="e">
        <f>IF(AND('Mapa final'!#REF!="Muy Baja",'Mapa final'!#REF!="Catastrófico"),CONCATENATE("R",'Mapa final'!#REF!),"")</f>
        <v>#REF!</v>
      </c>
      <c r="AI42" s="374"/>
      <c r="AJ42" s="374" t="e">
        <f>IF(AND('Mapa final'!#REF!="Muy Baja",'Mapa final'!#REF!="Catastrófico"),CONCATENATE("R",'Mapa final'!#REF!),"")</f>
        <v>#REF!</v>
      </c>
      <c r="AK42" s="374"/>
      <c r="AL42" s="374" t="str">
        <f>IF(AND('Mapa final'!$J$42="Muy Baja",'Mapa final'!$N$42="Catastrófico"),CONCATENATE("R",'Mapa final'!$C$42),"")</f>
        <v/>
      </c>
      <c r="AM42" s="375"/>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row>
    <row r="43" spans="1:80" x14ac:dyDescent="0.25">
      <c r="A43" s="74"/>
      <c r="B43" s="306"/>
      <c r="C43" s="306"/>
      <c r="D43" s="307"/>
      <c r="E43" s="347"/>
      <c r="F43" s="348"/>
      <c r="G43" s="348"/>
      <c r="H43" s="348"/>
      <c r="I43" s="349"/>
      <c r="J43" s="383"/>
      <c r="K43" s="382"/>
      <c r="L43" s="382"/>
      <c r="M43" s="382"/>
      <c r="N43" s="382"/>
      <c r="O43" s="384"/>
      <c r="P43" s="383"/>
      <c r="Q43" s="382"/>
      <c r="R43" s="382"/>
      <c r="S43" s="382"/>
      <c r="T43" s="382"/>
      <c r="U43" s="384"/>
      <c r="V43" s="359"/>
      <c r="W43" s="360"/>
      <c r="X43" s="360"/>
      <c r="Y43" s="360"/>
      <c r="Z43" s="360"/>
      <c r="AA43" s="361"/>
      <c r="AB43" s="355"/>
      <c r="AC43" s="356"/>
      <c r="AD43" s="356"/>
      <c r="AE43" s="356"/>
      <c r="AF43" s="356"/>
      <c r="AG43" s="358"/>
      <c r="AH43" s="373"/>
      <c r="AI43" s="374"/>
      <c r="AJ43" s="374"/>
      <c r="AK43" s="374"/>
      <c r="AL43" s="374"/>
      <c r="AM43" s="375"/>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row>
    <row r="44" spans="1:80" x14ac:dyDescent="0.25">
      <c r="A44" s="74"/>
      <c r="B44" s="306"/>
      <c r="C44" s="306"/>
      <c r="D44" s="307"/>
      <c r="E44" s="347"/>
      <c r="F44" s="348"/>
      <c r="G44" s="348"/>
      <c r="H44" s="348"/>
      <c r="I44" s="349"/>
      <c r="J44" s="383" t="e">
        <f>IF(AND('Mapa final'!#REF!="Muy Baja",'Mapa final'!#REF!="Leve"),CONCATENATE("R",'Mapa final'!#REF!),"")</f>
        <v>#REF!</v>
      </c>
      <c r="K44" s="382"/>
      <c r="L44" s="382" t="str">
        <f>IF(AND('Mapa final'!$J$61="Muy Baja",'Mapa final'!$N$61="Leve"),CONCATENATE("R",'Mapa final'!$C$61),"")</f>
        <v/>
      </c>
      <c r="M44" s="382"/>
      <c r="N44" s="382" t="str">
        <f>IF(AND('Mapa final'!$J$66="Muy Baja",'Mapa final'!$N$66="Leve"),CONCATENATE("R",'Mapa final'!$C$66),"")</f>
        <v/>
      </c>
      <c r="O44" s="384"/>
      <c r="P44" s="383" t="e">
        <f>IF(AND('Mapa final'!#REF!="Muy Baja",'Mapa final'!#REF!="Menor"),CONCATENATE("R",'Mapa final'!#REF!),"")</f>
        <v>#REF!</v>
      </c>
      <c r="Q44" s="382"/>
      <c r="R44" s="382" t="str">
        <f>IF(AND('Mapa final'!$J$61="Muy Baja",'Mapa final'!$N$61="Menor"),CONCATENATE("R",'Mapa final'!$C$61),"")</f>
        <v/>
      </c>
      <c r="S44" s="382"/>
      <c r="T44" s="382" t="str">
        <f>IF(AND('Mapa final'!$J$66="Muy Baja",'Mapa final'!$N$66="Menor"),CONCATENATE("R",'Mapa final'!$C$66),"")</f>
        <v/>
      </c>
      <c r="U44" s="384"/>
      <c r="V44" s="359" t="e">
        <f>IF(AND('Mapa final'!#REF!="Muy Baja",'Mapa final'!#REF!="Moderado"),CONCATENATE("R",'Mapa final'!#REF!),"")</f>
        <v>#REF!</v>
      </c>
      <c r="W44" s="360"/>
      <c r="X44" s="360" t="str">
        <f>IF(AND('Mapa final'!$J$61="Muy Baja",'Mapa final'!$N$61="Moderado"),CONCATENATE("R",'Mapa final'!$C$61),"")</f>
        <v/>
      </c>
      <c r="Y44" s="360"/>
      <c r="Z44" s="360" t="str">
        <f>IF(AND('Mapa final'!$J$66="Muy Baja",'Mapa final'!$N$66="Moderado"),CONCATENATE("R",'Mapa final'!$C$66),"")</f>
        <v/>
      </c>
      <c r="AA44" s="361"/>
      <c r="AB44" s="355" t="e">
        <f>IF(AND('Mapa final'!#REF!="Muy Baja",'Mapa final'!#REF!="Mayor"),CONCATENATE("R",'Mapa final'!#REF!),"")</f>
        <v>#REF!</v>
      </c>
      <c r="AC44" s="356"/>
      <c r="AD44" s="356" t="str">
        <f>IF(AND('Mapa final'!$J$61="Muy Baja",'Mapa final'!$N$61="Mayor"),CONCATENATE("R",'Mapa final'!$C$61),"")</f>
        <v/>
      </c>
      <c r="AE44" s="356"/>
      <c r="AF44" s="356" t="str">
        <f>IF(AND('Mapa final'!$J$66="Muy Baja",'Mapa final'!$N$66="Mayor"),CONCATENATE("R",'Mapa final'!$C$66),"")</f>
        <v/>
      </c>
      <c r="AG44" s="358"/>
      <c r="AH44" s="373" t="e">
        <f>IF(AND('Mapa final'!#REF!="Muy Baja",'Mapa final'!#REF!="Catastrófico"),CONCATENATE("R",'Mapa final'!#REF!),"")</f>
        <v>#REF!</v>
      </c>
      <c r="AI44" s="374"/>
      <c r="AJ44" s="374" t="str">
        <f>IF(AND('Mapa final'!$J$61="Muy Baja",'Mapa final'!$N$61="Catastrófico"),CONCATENATE("R",'Mapa final'!$C$61),"")</f>
        <v/>
      </c>
      <c r="AK44" s="374"/>
      <c r="AL44" s="374" t="str">
        <f>IF(AND('Mapa final'!$J$66="Muy Baja",'Mapa final'!$N$66="Catastrófico"),CONCATENATE("R",'Mapa final'!$C$66),"")</f>
        <v/>
      </c>
      <c r="AM44" s="375"/>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row>
    <row r="45" spans="1:80" ht="15.75" thickBot="1" x14ac:dyDescent="0.3">
      <c r="A45" s="74"/>
      <c r="B45" s="306"/>
      <c r="C45" s="306"/>
      <c r="D45" s="307"/>
      <c r="E45" s="350"/>
      <c r="F45" s="351"/>
      <c r="G45" s="351"/>
      <c r="H45" s="351"/>
      <c r="I45" s="352"/>
      <c r="J45" s="385"/>
      <c r="K45" s="386"/>
      <c r="L45" s="386"/>
      <c r="M45" s="386"/>
      <c r="N45" s="386"/>
      <c r="O45" s="387"/>
      <c r="P45" s="385"/>
      <c r="Q45" s="386"/>
      <c r="R45" s="386"/>
      <c r="S45" s="386"/>
      <c r="T45" s="386"/>
      <c r="U45" s="387"/>
      <c r="V45" s="362"/>
      <c r="W45" s="363"/>
      <c r="X45" s="363"/>
      <c r="Y45" s="363"/>
      <c r="Z45" s="363"/>
      <c r="AA45" s="364"/>
      <c r="AB45" s="370"/>
      <c r="AC45" s="371"/>
      <c r="AD45" s="371"/>
      <c r="AE45" s="371"/>
      <c r="AF45" s="371"/>
      <c r="AG45" s="372"/>
      <c r="AH45" s="376"/>
      <c r="AI45" s="377"/>
      <c r="AJ45" s="377"/>
      <c r="AK45" s="377"/>
      <c r="AL45" s="377"/>
      <c r="AM45" s="378"/>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row>
    <row r="46" spans="1:80" x14ac:dyDescent="0.25">
      <c r="A46" s="74"/>
      <c r="B46" s="74"/>
      <c r="C46" s="74"/>
      <c r="D46" s="74"/>
      <c r="E46" s="74"/>
      <c r="F46" s="74"/>
      <c r="G46" s="74"/>
      <c r="H46" s="74"/>
      <c r="I46" s="74"/>
      <c r="J46" s="344" t="s">
        <v>111</v>
      </c>
      <c r="K46" s="345"/>
      <c r="L46" s="345"/>
      <c r="M46" s="345"/>
      <c r="N46" s="345"/>
      <c r="O46" s="346"/>
      <c r="P46" s="344" t="s">
        <v>110</v>
      </c>
      <c r="Q46" s="345"/>
      <c r="R46" s="345"/>
      <c r="S46" s="345"/>
      <c r="T46" s="345"/>
      <c r="U46" s="346"/>
      <c r="V46" s="344" t="s">
        <v>109</v>
      </c>
      <c r="W46" s="345"/>
      <c r="X46" s="345"/>
      <c r="Y46" s="345"/>
      <c r="Z46" s="345"/>
      <c r="AA46" s="346"/>
      <c r="AB46" s="344" t="s">
        <v>108</v>
      </c>
      <c r="AC46" s="369"/>
      <c r="AD46" s="345"/>
      <c r="AE46" s="345"/>
      <c r="AF46" s="345"/>
      <c r="AG46" s="346"/>
      <c r="AH46" s="344" t="s">
        <v>107</v>
      </c>
      <c r="AI46" s="345"/>
      <c r="AJ46" s="345"/>
      <c r="AK46" s="345"/>
      <c r="AL46" s="345"/>
      <c r="AM46" s="346"/>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row>
    <row r="47" spans="1:80" x14ac:dyDescent="0.25">
      <c r="A47" s="74"/>
      <c r="B47" s="74"/>
      <c r="C47" s="74"/>
      <c r="D47" s="74"/>
      <c r="E47" s="74"/>
      <c r="F47" s="74"/>
      <c r="G47" s="74"/>
      <c r="H47" s="74"/>
      <c r="I47" s="74"/>
      <c r="J47" s="347"/>
      <c r="K47" s="348"/>
      <c r="L47" s="348"/>
      <c r="M47" s="348"/>
      <c r="N47" s="348"/>
      <c r="O47" s="349"/>
      <c r="P47" s="347"/>
      <c r="Q47" s="348"/>
      <c r="R47" s="348"/>
      <c r="S47" s="348"/>
      <c r="T47" s="348"/>
      <c r="U47" s="349"/>
      <c r="V47" s="347"/>
      <c r="W47" s="348"/>
      <c r="X47" s="348"/>
      <c r="Y47" s="348"/>
      <c r="Z47" s="348"/>
      <c r="AA47" s="349"/>
      <c r="AB47" s="347"/>
      <c r="AC47" s="348"/>
      <c r="AD47" s="348"/>
      <c r="AE47" s="348"/>
      <c r="AF47" s="348"/>
      <c r="AG47" s="349"/>
      <c r="AH47" s="347"/>
      <c r="AI47" s="348"/>
      <c r="AJ47" s="348"/>
      <c r="AK47" s="348"/>
      <c r="AL47" s="348"/>
      <c r="AM47" s="349"/>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row>
    <row r="48" spans="1:80" x14ac:dyDescent="0.25">
      <c r="A48" s="74"/>
      <c r="B48" s="74"/>
      <c r="C48" s="74"/>
      <c r="D48" s="74"/>
      <c r="E48" s="74"/>
      <c r="F48" s="74"/>
      <c r="G48" s="74"/>
      <c r="H48" s="74"/>
      <c r="I48" s="74"/>
      <c r="J48" s="347"/>
      <c r="K48" s="348"/>
      <c r="L48" s="348"/>
      <c r="M48" s="348"/>
      <c r="N48" s="348"/>
      <c r="O48" s="349"/>
      <c r="P48" s="347"/>
      <c r="Q48" s="348"/>
      <c r="R48" s="348"/>
      <c r="S48" s="348"/>
      <c r="T48" s="348"/>
      <c r="U48" s="349"/>
      <c r="V48" s="347"/>
      <c r="W48" s="348"/>
      <c r="X48" s="348"/>
      <c r="Y48" s="348"/>
      <c r="Z48" s="348"/>
      <c r="AA48" s="349"/>
      <c r="AB48" s="347"/>
      <c r="AC48" s="348"/>
      <c r="AD48" s="348"/>
      <c r="AE48" s="348"/>
      <c r="AF48" s="348"/>
      <c r="AG48" s="349"/>
      <c r="AH48" s="347"/>
      <c r="AI48" s="348"/>
      <c r="AJ48" s="348"/>
      <c r="AK48" s="348"/>
      <c r="AL48" s="348"/>
      <c r="AM48" s="349"/>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row>
    <row r="49" spans="1:80" x14ac:dyDescent="0.25">
      <c r="A49" s="74"/>
      <c r="B49" s="74"/>
      <c r="C49" s="74"/>
      <c r="D49" s="74"/>
      <c r="E49" s="74"/>
      <c r="F49" s="74"/>
      <c r="G49" s="74"/>
      <c r="H49" s="74"/>
      <c r="I49" s="74"/>
      <c r="J49" s="347"/>
      <c r="K49" s="348"/>
      <c r="L49" s="348"/>
      <c r="M49" s="348"/>
      <c r="N49" s="348"/>
      <c r="O49" s="349"/>
      <c r="P49" s="347"/>
      <c r="Q49" s="348"/>
      <c r="R49" s="348"/>
      <c r="S49" s="348"/>
      <c r="T49" s="348"/>
      <c r="U49" s="349"/>
      <c r="V49" s="347"/>
      <c r="W49" s="348"/>
      <c r="X49" s="348"/>
      <c r="Y49" s="348"/>
      <c r="Z49" s="348"/>
      <c r="AA49" s="349"/>
      <c r="AB49" s="347"/>
      <c r="AC49" s="348"/>
      <c r="AD49" s="348"/>
      <c r="AE49" s="348"/>
      <c r="AF49" s="348"/>
      <c r="AG49" s="349"/>
      <c r="AH49" s="347"/>
      <c r="AI49" s="348"/>
      <c r="AJ49" s="348"/>
      <c r="AK49" s="348"/>
      <c r="AL49" s="348"/>
      <c r="AM49" s="349"/>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row>
    <row r="50" spans="1:80" x14ac:dyDescent="0.25">
      <c r="A50" s="74"/>
      <c r="B50" s="74"/>
      <c r="C50" s="74"/>
      <c r="D50" s="74"/>
      <c r="E50" s="74"/>
      <c r="F50" s="74"/>
      <c r="G50" s="74"/>
      <c r="H50" s="74"/>
      <c r="I50" s="74"/>
      <c r="J50" s="347"/>
      <c r="K50" s="348"/>
      <c r="L50" s="348"/>
      <c r="M50" s="348"/>
      <c r="N50" s="348"/>
      <c r="O50" s="349"/>
      <c r="P50" s="347"/>
      <c r="Q50" s="348"/>
      <c r="R50" s="348"/>
      <c r="S50" s="348"/>
      <c r="T50" s="348"/>
      <c r="U50" s="349"/>
      <c r="V50" s="347"/>
      <c r="W50" s="348"/>
      <c r="X50" s="348"/>
      <c r="Y50" s="348"/>
      <c r="Z50" s="348"/>
      <c r="AA50" s="349"/>
      <c r="AB50" s="347"/>
      <c r="AC50" s="348"/>
      <c r="AD50" s="348"/>
      <c r="AE50" s="348"/>
      <c r="AF50" s="348"/>
      <c r="AG50" s="349"/>
      <c r="AH50" s="347"/>
      <c r="AI50" s="348"/>
      <c r="AJ50" s="348"/>
      <c r="AK50" s="348"/>
      <c r="AL50" s="348"/>
      <c r="AM50" s="349"/>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row>
    <row r="51" spans="1:80" ht="15.75" thickBot="1" x14ac:dyDescent="0.3">
      <c r="A51" s="74"/>
      <c r="B51" s="74"/>
      <c r="C51" s="74"/>
      <c r="D51" s="74"/>
      <c r="E51" s="74"/>
      <c r="F51" s="74"/>
      <c r="G51" s="74"/>
      <c r="H51" s="74"/>
      <c r="I51" s="74"/>
      <c r="J51" s="350"/>
      <c r="K51" s="351"/>
      <c r="L51" s="351"/>
      <c r="M51" s="351"/>
      <c r="N51" s="351"/>
      <c r="O51" s="352"/>
      <c r="P51" s="350"/>
      <c r="Q51" s="351"/>
      <c r="R51" s="351"/>
      <c r="S51" s="351"/>
      <c r="T51" s="351"/>
      <c r="U51" s="352"/>
      <c r="V51" s="350"/>
      <c r="W51" s="351"/>
      <c r="X51" s="351"/>
      <c r="Y51" s="351"/>
      <c r="Z51" s="351"/>
      <c r="AA51" s="352"/>
      <c r="AB51" s="350"/>
      <c r="AC51" s="351"/>
      <c r="AD51" s="351"/>
      <c r="AE51" s="351"/>
      <c r="AF51" s="351"/>
      <c r="AG51" s="352"/>
      <c r="AH51" s="350"/>
      <c r="AI51" s="351"/>
      <c r="AJ51" s="351"/>
      <c r="AK51" s="351"/>
      <c r="AL51" s="351"/>
      <c r="AM51" s="352"/>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row>
    <row r="52" spans="1:80" x14ac:dyDescent="0.25">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row>
    <row r="53" spans="1:80" ht="15" customHeight="1" x14ac:dyDescent="0.25">
      <c r="A53" s="74"/>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row>
    <row r="54" spans="1:80" ht="15" customHeight="1" x14ac:dyDescent="0.25">
      <c r="A54" s="74"/>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row>
    <row r="55" spans="1:80" x14ac:dyDescent="0.25">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row>
    <row r="56" spans="1:80" x14ac:dyDescent="0.25">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row>
    <row r="57" spans="1:80" x14ac:dyDescent="0.25">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row>
    <row r="58" spans="1:80" x14ac:dyDescent="0.25">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row>
    <row r="59" spans="1:80" x14ac:dyDescent="0.25">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row>
    <row r="60" spans="1:80" x14ac:dyDescent="0.25">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row>
    <row r="61" spans="1:80" x14ac:dyDescent="0.25">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row>
    <row r="62" spans="1:80" x14ac:dyDescent="0.25">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row>
    <row r="63" spans="1:80" x14ac:dyDescent="0.25">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row>
    <row r="64" spans="1:80" x14ac:dyDescent="0.25">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row>
    <row r="65" spans="1:80" x14ac:dyDescent="0.25">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row>
    <row r="66" spans="1:80" x14ac:dyDescent="0.25">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row>
    <row r="67" spans="1:80" x14ac:dyDescent="0.25">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row>
    <row r="68" spans="1:80" x14ac:dyDescent="0.25">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row>
    <row r="69" spans="1:80" x14ac:dyDescent="0.25">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row>
    <row r="70" spans="1:80" x14ac:dyDescent="0.25">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row>
    <row r="71" spans="1:80" x14ac:dyDescent="0.25">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row>
    <row r="72" spans="1:80" x14ac:dyDescent="0.25">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row>
    <row r="73" spans="1:80" x14ac:dyDescent="0.25">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row>
    <row r="74" spans="1:80" x14ac:dyDescent="0.25">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row>
    <row r="75" spans="1:80" x14ac:dyDescent="0.25">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row>
    <row r="76" spans="1:80" x14ac:dyDescent="0.25">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row>
    <row r="77" spans="1:80" x14ac:dyDescent="0.25">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row>
    <row r="78" spans="1:80" x14ac:dyDescent="0.25">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row>
    <row r="79" spans="1:80" x14ac:dyDescent="0.25">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row>
    <row r="80" spans="1:80" x14ac:dyDescent="0.25">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row>
    <row r="81" spans="1:63" x14ac:dyDescent="0.2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row>
    <row r="82" spans="1:63" x14ac:dyDescent="0.25">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row>
    <row r="83" spans="1:63" x14ac:dyDescent="0.25">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row>
    <row r="84" spans="1:63" x14ac:dyDescent="0.25">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row>
    <row r="85" spans="1:63" x14ac:dyDescent="0.25">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row>
    <row r="86" spans="1:63" x14ac:dyDescent="0.2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row>
    <row r="87" spans="1:63" x14ac:dyDescent="0.25">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row>
    <row r="88" spans="1:63" x14ac:dyDescent="0.25">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row>
    <row r="89" spans="1:63" x14ac:dyDescent="0.25">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row>
    <row r="90" spans="1:63" x14ac:dyDescent="0.25">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row>
    <row r="91" spans="1:63" x14ac:dyDescent="0.25">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row>
    <row r="92" spans="1:63" x14ac:dyDescent="0.25">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row>
    <row r="93" spans="1:63" x14ac:dyDescent="0.25">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row>
    <row r="94" spans="1:63" x14ac:dyDescent="0.25">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row>
    <row r="95" spans="1:63" x14ac:dyDescent="0.25">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row>
    <row r="96" spans="1:63" x14ac:dyDescent="0.25">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row>
    <row r="97" spans="1:63" x14ac:dyDescent="0.25">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row>
    <row r="98" spans="1:63" x14ac:dyDescent="0.25">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row>
    <row r="99" spans="1:63" x14ac:dyDescent="0.25">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row>
    <row r="100" spans="1:63" x14ac:dyDescent="0.25">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row>
    <row r="101" spans="1:63" x14ac:dyDescent="0.25">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row>
    <row r="102" spans="1:63" x14ac:dyDescent="0.25">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row>
    <row r="103" spans="1:63" x14ac:dyDescent="0.25">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row>
    <row r="104" spans="1:63" x14ac:dyDescent="0.25">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row>
    <row r="105" spans="1:63" x14ac:dyDescent="0.25">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row>
    <row r="106" spans="1:63" x14ac:dyDescent="0.25">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row>
    <row r="107" spans="1:63" x14ac:dyDescent="0.25">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row>
    <row r="108" spans="1:63" x14ac:dyDescent="0.25">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row>
    <row r="109" spans="1:63" x14ac:dyDescent="0.25">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row>
    <row r="110" spans="1:63" x14ac:dyDescent="0.25">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row>
    <row r="111" spans="1:63" x14ac:dyDescent="0.25">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row>
    <row r="112" spans="1:63" x14ac:dyDescent="0.25">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row>
    <row r="113" spans="1:63" x14ac:dyDescent="0.25">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row>
    <row r="114" spans="1:63" x14ac:dyDescent="0.25">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row>
    <row r="115" spans="1:63" x14ac:dyDescent="0.25">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row>
    <row r="116" spans="1:63" x14ac:dyDescent="0.25">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row>
    <row r="117" spans="1:63" x14ac:dyDescent="0.25">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row>
    <row r="118" spans="1:63" x14ac:dyDescent="0.25">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row>
    <row r="119" spans="1:63" x14ac:dyDescent="0.2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row>
    <row r="120" spans="1:63" x14ac:dyDescent="0.25">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row>
    <row r="121" spans="1:63" x14ac:dyDescent="0.25">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row>
    <row r="122" spans="1:63" x14ac:dyDescent="0.25">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row>
    <row r="123" spans="1:63" x14ac:dyDescent="0.25">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row>
    <row r="124" spans="1:63" x14ac:dyDescent="0.25">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c r="BK124" s="74"/>
    </row>
    <row r="125" spans="1:63" x14ac:dyDescent="0.25">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row>
    <row r="126" spans="1:63" x14ac:dyDescent="0.25">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row>
    <row r="127" spans="1:63" x14ac:dyDescent="0.25">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row>
    <row r="128" spans="1:63" x14ac:dyDescent="0.25">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row>
    <row r="129" spans="2:63" x14ac:dyDescent="0.25">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row>
    <row r="130" spans="2:63" x14ac:dyDescent="0.25">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row>
    <row r="131" spans="2:63" x14ac:dyDescent="0.25">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row>
    <row r="132" spans="2:63" x14ac:dyDescent="0.25">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c r="BI132" s="74"/>
      <c r="BJ132" s="74"/>
      <c r="BK132" s="74"/>
    </row>
    <row r="133" spans="2:63" x14ac:dyDescent="0.25">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row>
    <row r="134" spans="2:63" x14ac:dyDescent="0.25">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74"/>
      <c r="BE134" s="74"/>
      <c r="BF134" s="74"/>
      <c r="BG134" s="74"/>
      <c r="BH134" s="74"/>
      <c r="BI134" s="74"/>
      <c r="BJ134" s="74"/>
      <c r="BK134" s="74"/>
    </row>
    <row r="135" spans="2:63" x14ac:dyDescent="0.25">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74"/>
      <c r="BF135" s="74"/>
      <c r="BG135" s="74"/>
      <c r="BH135" s="74"/>
      <c r="BI135" s="74"/>
      <c r="BJ135" s="74"/>
      <c r="BK135" s="74"/>
    </row>
    <row r="136" spans="2:63" x14ac:dyDescent="0.25">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row>
    <row r="137" spans="2:63" x14ac:dyDescent="0.25">
      <c r="B137" s="74"/>
      <c r="C137" s="74"/>
      <c r="D137" s="74"/>
      <c r="E137" s="74"/>
      <c r="F137" s="74"/>
      <c r="G137" s="74"/>
      <c r="H137" s="74"/>
      <c r="I137" s="74"/>
    </row>
    <row r="138" spans="2:63" x14ac:dyDescent="0.25">
      <c r="B138" s="74"/>
      <c r="C138" s="74"/>
      <c r="D138" s="74"/>
      <c r="E138" s="74"/>
      <c r="F138" s="74"/>
      <c r="G138" s="74"/>
      <c r="H138" s="74"/>
      <c r="I138" s="74"/>
    </row>
    <row r="139" spans="2:63" x14ac:dyDescent="0.25">
      <c r="B139" s="74"/>
      <c r="C139" s="74"/>
      <c r="D139" s="74"/>
      <c r="E139" s="74"/>
      <c r="F139" s="74"/>
      <c r="G139" s="74"/>
      <c r="H139" s="74"/>
      <c r="I139" s="74"/>
    </row>
    <row r="140" spans="2:63" x14ac:dyDescent="0.25">
      <c r="B140" s="74"/>
      <c r="C140" s="74"/>
      <c r="D140" s="74"/>
      <c r="E140" s="74"/>
      <c r="F140" s="74"/>
      <c r="G140" s="74"/>
      <c r="H140" s="74"/>
      <c r="I140" s="74"/>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N40:O41"/>
    <mergeCell ref="J44:K45"/>
    <mergeCell ref="L44:M45"/>
    <mergeCell ref="N44:O45"/>
    <mergeCell ref="J38:K39"/>
    <mergeCell ref="L38:M39"/>
    <mergeCell ref="N38:O39"/>
    <mergeCell ref="J40:K41"/>
    <mergeCell ref="J34:K35"/>
    <mergeCell ref="L34:M35"/>
    <mergeCell ref="N34:O35"/>
    <mergeCell ref="J36:K37"/>
    <mergeCell ref="L36:M37"/>
    <mergeCell ref="N36:O37"/>
    <mergeCell ref="J30:K31"/>
    <mergeCell ref="L30:M31"/>
    <mergeCell ref="N30:O31"/>
    <mergeCell ref="J32:K33"/>
    <mergeCell ref="L32:M33"/>
    <mergeCell ref="N32:O33"/>
    <mergeCell ref="L40:M41"/>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8:Q29"/>
    <mergeCell ref="R28:S29"/>
    <mergeCell ref="T28:U29"/>
    <mergeCell ref="P22:Q23"/>
    <mergeCell ref="R22:S23"/>
    <mergeCell ref="T22:U23"/>
    <mergeCell ref="P24:Q25"/>
    <mergeCell ref="R24:S25"/>
    <mergeCell ref="T24:U25"/>
    <mergeCell ref="J28:K29"/>
    <mergeCell ref="L28:M29"/>
    <mergeCell ref="N28:O29"/>
    <mergeCell ref="J22:K23"/>
    <mergeCell ref="L22:M23"/>
    <mergeCell ref="N22:O23"/>
    <mergeCell ref="J24:K25"/>
    <mergeCell ref="L24:M25"/>
    <mergeCell ref="N24:O25"/>
    <mergeCell ref="P14:Q15"/>
    <mergeCell ref="R14:S15"/>
    <mergeCell ref="T14:U15"/>
    <mergeCell ref="P16:Q17"/>
    <mergeCell ref="R16:S17"/>
    <mergeCell ref="T16:U17"/>
    <mergeCell ref="J26:K27"/>
    <mergeCell ref="L26:M27"/>
    <mergeCell ref="N26:O27"/>
    <mergeCell ref="P26:Q27"/>
    <mergeCell ref="R26:S27"/>
    <mergeCell ref="T26:U27"/>
    <mergeCell ref="J16:K17"/>
    <mergeCell ref="L16:M17"/>
    <mergeCell ref="N16:O17"/>
    <mergeCell ref="P18:Q19"/>
    <mergeCell ref="R18:S19"/>
    <mergeCell ref="T18:U19"/>
    <mergeCell ref="P20:Q21"/>
    <mergeCell ref="R20:S21"/>
    <mergeCell ref="T20:U21"/>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P10:Q11"/>
    <mergeCell ref="J12:K13"/>
    <mergeCell ref="L10:M11"/>
    <mergeCell ref="L12:M13"/>
    <mergeCell ref="AF6:AG7"/>
    <mergeCell ref="AB8:AC9"/>
    <mergeCell ref="AD8:AE9"/>
    <mergeCell ref="AF8:AG9"/>
    <mergeCell ref="J46:O51"/>
    <mergeCell ref="P46:U51"/>
    <mergeCell ref="V46:AA51"/>
    <mergeCell ref="N10:O11"/>
    <mergeCell ref="N12:O13"/>
    <mergeCell ref="R12:S13"/>
    <mergeCell ref="T12:U13"/>
    <mergeCell ref="T10:U11"/>
    <mergeCell ref="Z10:AA11"/>
    <mergeCell ref="V12:W13"/>
    <mergeCell ref="V10:W11"/>
    <mergeCell ref="X10:Y11"/>
    <mergeCell ref="R10:S11"/>
    <mergeCell ref="X12:Y13"/>
    <mergeCell ref="Z12:AA13"/>
    <mergeCell ref="J18:K19"/>
    <mergeCell ref="L18:M19"/>
    <mergeCell ref="N18:O19"/>
    <mergeCell ref="J20:K21"/>
    <mergeCell ref="L20:M21"/>
    <mergeCell ref="N20:O21"/>
    <mergeCell ref="J14:K15"/>
    <mergeCell ref="L14:M15"/>
    <mergeCell ref="N14:O15"/>
    <mergeCell ref="B6:D45"/>
    <mergeCell ref="AO6:AT13"/>
    <mergeCell ref="AO14:AT21"/>
    <mergeCell ref="AO22:AT29"/>
    <mergeCell ref="AO30:AT37"/>
    <mergeCell ref="E22:I29"/>
    <mergeCell ref="E38:I45"/>
    <mergeCell ref="V6:W7"/>
    <mergeCell ref="X6:Y7"/>
    <mergeCell ref="Z6:AA7"/>
    <mergeCell ref="V8:W9"/>
    <mergeCell ref="X8:Y9"/>
    <mergeCell ref="Z8:AA9"/>
    <mergeCell ref="R6:S7"/>
    <mergeCell ref="T6:U7"/>
    <mergeCell ref="R8:S9"/>
    <mergeCell ref="T8:U9"/>
    <mergeCell ref="AB10:AC11"/>
    <mergeCell ref="AD10:AE11"/>
    <mergeCell ref="AF10:AG11"/>
    <mergeCell ref="AB6:AC7"/>
    <mergeCell ref="AD6:AE7"/>
    <mergeCell ref="AB12:AC13"/>
    <mergeCell ref="AD12:AE13"/>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BAA2D-1518-9B45-BAD9-DA50FF786092}">
  <dimension ref="A1:CM248"/>
  <sheetViews>
    <sheetView zoomScale="90" zoomScaleNormal="90" workbookViewId="0">
      <selection activeCell="N47" sqref="N47"/>
    </sheetView>
  </sheetViews>
  <sheetFormatPr baseColWidth="10" defaultRowHeight="15" x14ac:dyDescent="0.25"/>
  <cols>
    <col min="2" max="9" width="5.7109375" customWidth="1"/>
    <col min="10" max="39" width="7.7109375" customWidth="1"/>
    <col min="41" max="46" width="5.7109375" customWidth="1"/>
  </cols>
  <sheetData>
    <row r="1" spans="1:91" x14ac:dyDescent="0.25">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row>
    <row r="2" spans="1:91" ht="18" customHeight="1" x14ac:dyDescent="0.25">
      <c r="A2" s="74"/>
      <c r="B2" s="417" t="s">
        <v>157</v>
      </c>
      <c r="C2" s="418"/>
      <c r="D2" s="418"/>
      <c r="E2" s="418"/>
      <c r="F2" s="418"/>
      <c r="G2" s="418"/>
      <c r="H2" s="418"/>
      <c r="I2" s="418"/>
      <c r="J2" s="368" t="s">
        <v>2</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row>
    <row r="3" spans="1:91" ht="18.75" customHeight="1" x14ac:dyDescent="0.25">
      <c r="A3" s="74"/>
      <c r="B3" s="418"/>
      <c r="C3" s="418"/>
      <c r="D3" s="418"/>
      <c r="E3" s="418"/>
      <c r="F3" s="418"/>
      <c r="G3" s="418"/>
      <c r="H3" s="418"/>
      <c r="I3" s="41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row>
    <row r="4" spans="1:91" ht="15" customHeight="1" x14ac:dyDescent="0.25">
      <c r="A4" s="74"/>
      <c r="B4" s="418"/>
      <c r="C4" s="418"/>
      <c r="D4" s="418"/>
      <c r="E4" s="418"/>
      <c r="F4" s="418"/>
      <c r="G4" s="418"/>
      <c r="H4" s="418"/>
      <c r="I4" s="41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row>
    <row r="5" spans="1:91" ht="15.75" thickBot="1" x14ac:dyDescent="0.3">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row>
    <row r="6" spans="1:91" ht="15" customHeight="1" x14ac:dyDescent="0.25">
      <c r="A6" s="74"/>
      <c r="B6" s="306" t="s">
        <v>4</v>
      </c>
      <c r="C6" s="306"/>
      <c r="D6" s="307"/>
      <c r="E6" s="401" t="s">
        <v>115</v>
      </c>
      <c r="F6" s="402"/>
      <c r="G6" s="402"/>
      <c r="H6" s="402"/>
      <c r="I6" s="419"/>
      <c r="J6" s="37" t="str">
        <f>IF(AND('Mapa final'!$AA$9="Muy Alta",'Mapa final'!$AC$9="Leve"),CONCATENATE("R1C",'Mapa final'!$Q$9),"")</f>
        <v/>
      </c>
      <c r="K6" s="38" t="str">
        <f>IF(AND('Mapa final'!$AA$10="Muy Alta",'Mapa final'!$AC$10="Leve"),CONCATENATE("R1C",'Mapa final'!$Q$10),"")</f>
        <v/>
      </c>
      <c r="L6" s="38" t="str">
        <f>IF(AND('Mapa final'!$AA$11="Muy Alta",'Mapa final'!$AC$11="Leve"),CONCATENATE("R1C",'Mapa final'!$Q$11),"")</f>
        <v/>
      </c>
      <c r="M6" s="38" t="str">
        <f>IF(AND('Mapa final'!$AA$12="Muy Alta",'Mapa final'!$AC$12="Leve"),CONCATENATE("R1C",'Mapa final'!$Q$12),"")</f>
        <v/>
      </c>
      <c r="N6" s="38" t="str">
        <f>IF(AND('Mapa final'!$AA$13="Muy Alta",'Mapa final'!$AC$13="Leve"),CONCATENATE("R1C",'Mapa final'!$Q$13),"")</f>
        <v/>
      </c>
      <c r="O6" s="39" t="str">
        <f>IF(AND('Mapa final'!$AA$14="Muy Alta",'Mapa final'!$AC$14="Leve"),CONCATENATE("R1C",'Mapa final'!$Q$14),"")</f>
        <v/>
      </c>
      <c r="P6" s="37" t="str">
        <f>IF(AND('Mapa final'!$AA$9="Muy Alta",'Mapa final'!$AC$9="Menor"),CONCATENATE("R1C",'Mapa final'!$Q$9),"")</f>
        <v/>
      </c>
      <c r="Q6" s="38" t="str">
        <f>IF(AND('Mapa final'!$AA$10="Muy Alta",'Mapa final'!$AC$10="Menor"),CONCATENATE("R1C",'Mapa final'!$Q$10),"")</f>
        <v/>
      </c>
      <c r="R6" s="38" t="str">
        <f>IF(AND('Mapa final'!$AA$11="Muy Alta",'Mapa final'!$AC$11="Menor"),CONCATENATE("R1C",'Mapa final'!$Q$11),"")</f>
        <v/>
      </c>
      <c r="S6" s="38" t="str">
        <f>IF(AND('Mapa final'!$AA$12="Muy Alta",'Mapa final'!$AC$12="Menor"),CONCATENATE("R1C",'Mapa final'!$Q$12),"")</f>
        <v/>
      </c>
      <c r="T6" s="38" t="str">
        <f>IF(AND('Mapa final'!$AA$13="Muy Alta",'Mapa final'!$AC$13="Menor"),CONCATENATE("R1C",'Mapa final'!$Q$13),"")</f>
        <v/>
      </c>
      <c r="U6" s="39" t="str">
        <f>IF(AND('Mapa final'!$AA$14="Muy Alta",'Mapa final'!$AC$14="Menor"),CONCATENATE("R1C",'Mapa final'!$Q$14),"")</f>
        <v/>
      </c>
      <c r="V6" s="37" t="str">
        <f>IF(AND('Mapa final'!$AA$9="Muy Alta",'Mapa final'!$AC$9="Moderado"),CONCATENATE("R1C",'Mapa final'!$Q$9),"")</f>
        <v/>
      </c>
      <c r="W6" s="38" t="str">
        <f>IF(AND('Mapa final'!$AA$10="Muy Alta",'Mapa final'!$AC$10="Moderado"),CONCATENATE("R1C",'Mapa final'!$Q$10),"")</f>
        <v/>
      </c>
      <c r="X6" s="38" t="str">
        <f>IF(AND('Mapa final'!$AA$11="Muy Alta",'Mapa final'!$AC$11="Moderado"),CONCATENATE("R1C",'Mapa final'!$Q$11),"")</f>
        <v/>
      </c>
      <c r="Y6" s="38" t="str">
        <f>IF(AND('Mapa final'!$AA$12="Muy Alta",'Mapa final'!$AC$12="Moderado"),CONCATENATE("R1C",'Mapa final'!$Q$12),"")</f>
        <v/>
      </c>
      <c r="Z6" s="38" t="str">
        <f>IF(AND('Mapa final'!$AA$13="Muy Alta",'Mapa final'!$AC$13="Moderado"),CONCATENATE("R1C",'Mapa final'!$Q$13),"")</f>
        <v/>
      </c>
      <c r="AA6" s="39" t="str">
        <f>IF(AND('Mapa final'!$AA$14="Muy Alta",'Mapa final'!$AC$14="Moderado"),CONCATENATE("R1C",'Mapa final'!$Q$14),"")</f>
        <v/>
      </c>
      <c r="AB6" s="37" t="str">
        <f>IF(AND('Mapa final'!$AA$9="Muy Alta",'Mapa final'!$AC$9="Mayor"),CONCATENATE("R1C",'Mapa final'!$Q$9),"")</f>
        <v/>
      </c>
      <c r="AC6" s="38" t="str">
        <f>IF(AND('Mapa final'!$AA$10="Muy Alta",'Mapa final'!$AC$10="Mayor"),CONCATENATE("R1C",'Mapa final'!$Q$10),"")</f>
        <v/>
      </c>
      <c r="AD6" s="38" t="str">
        <f>IF(AND('Mapa final'!$AA$11="Muy Alta",'Mapa final'!$AC$11="Mayor"),CONCATENATE("R1C",'Mapa final'!$Q$11),"")</f>
        <v/>
      </c>
      <c r="AE6" s="38" t="str">
        <f>IF(AND('Mapa final'!$AA$12="Muy Alta",'Mapa final'!$AC$12="Mayor"),CONCATENATE("R1C",'Mapa final'!$Q$12),"")</f>
        <v/>
      </c>
      <c r="AF6" s="38" t="str">
        <f>IF(AND('Mapa final'!$AA$13="Muy Alta",'Mapa final'!$AC$13="Mayor"),CONCATENATE("R1C",'Mapa final'!$Q$13),"")</f>
        <v/>
      </c>
      <c r="AG6" s="39" t="str">
        <f>IF(AND('Mapa final'!$AA$14="Muy Alta",'Mapa final'!$AC$14="Mayor"),CONCATENATE("R1C",'Mapa final'!$Q$14),"")</f>
        <v/>
      </c>
      <c r="AH6" s="40" t="str">
        <f>IF(AND('Mapa final'!$AA$9="Muy Alta",'Mapa final'!$AC$9="Catastrófico"),CONCATENATE("R1C",'Mapa final'!$Q$9),"")</f>
        <v/>
      </c>
      <c r="AI6" s="41" t="str">
        <f>IF(AND('Mapa final'!$AA$10="Muy Alta",'Mapa final'!$AC$10="Catastrófico"),CONCATENATE("R1C",'Mapa final'!$Q$10),"")</f>
        <v/>
      </c>
      <c r="AJ6" s="41" t="str">
        <f>IF(AND('Mapa final'!$AA$11="Muy Alta",'Mapa final'!$AC$11="Catastrófico"),CONCATENATE("R1C",'Mapa final'!$Q$11),"")</f>
        <v/>
      </c>
      <c r="AK6" s="41" t="str">
        <f>IF(AND('Mapa final'!$AA$12="Muy Alta",'Mapa final'!$AC$12="Catastrófico"),CONCATENATE("R1C",'Mapa final'!$Q$12),"")</f>
        <v/>
      </c>
      <c r="AL6" s="41" t="str">
        <f>IF(AND('Mapa final'!$AA$13="Muy Alta",'Mapa final'!$AC$13="Catastrófico"),CONCATENATE("R1C",'Mapa final'!$Q$13),"")</f>
        <v/>
      </c>
      <c r="AM6" s="42" t="str">
        <f>IF(AND('Mapa final'!$AA$14="Muy Alta",'Mapa final'!$AC$14="Catastrófico"),CONCATENATE("R1C",'Mapa final'!$Q$14),"")</f>
        <v/>
      </c>
      <c r="AN6" s="74"/>
      <c r="AO6" s="408" t="s">
        <v>78</v>
      </c>
      <c r="AP6" s="409"/>
      <c r="AQ6" s="409"/>
      <c r="AR6" s="409"/>
      <c r="AS6" s="409"/>
      <c r="AT6" s="410"/>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row>
    <row r="7" spans="1:91" ht="15" customHeight="1" x14ac:dyDescent="0.25">
      <c r="A7" s="74"/>
      <c r="B7" s="306"/>
      <c r="C7" s="306"/>
      <c r="D7" s="307"/>
      <c r="E7" s="405"/>
      <c r="F7" s="404"/>
      <c r="G7" s="404"/>
      <c r="H7" s="404"/>
      <c r="I7" s="420"/>
      <c r="J7" s="43" t="str">
        <f>IF(AND('Mapa final'!$AA$15="Muy Alta",'Mapa final'!$AC$15="Leve"),CONCATENATE("R2C",'Mapa final'!$Q$15),"")</f>
        <v/>
      </c>
      <c r="K7" s="44" t="str">
        <f>IF(AND('Mapa final'!$AA$16="Muy Alta",'Mapa final'!$AC$16="Leve"),CONCATENATE("R2C",'Mapa final'!$Q$16),"")</f>
        <v/>
      </c>
      <c r="L7" s="44" t="str">
        <f>IF(AND('Mapa final'!$AA$17="Muy Alta",'Mapa final'!$AC$17="Leve"),CONCATENATE("R2C",'Mapa final'!$Q$17),"")</f>
        <v/>
      </c>
      <c r="M7" s="44" t="e">
        <f>IF(AND('Mapa final'!#REF!="Muy Alta",'Mapa final'!#REF!="Leve"),CONCATENATE("R2C",'Mapa final'!#REF!),"")</f>
        <v>#REF!</v>
      </c>
      <c r="N7" s="44" t="str">
        <f>IF(AND('Mapa final'!$AA$18="Muy Alta",'Mapa final'!$AC$18="Leve"),CONCATENATE("R2C",'Mapa final'!$Q$18),"")</f>
        <v/>
      </c>
      <c r="O7" s="45" t="e">
        <f>IF(AND('Mapa final'!#REF!="Muy Alta",'Mapa final'!#REF!="Leve"),CONCATENATE("R2C",'Mapa final'!#REF!),"")</f>
        <v>#REF!</v>
      </c>
      <c r="P7" s="43" t="str">
        <f>IF(AND('Mapa final'!$AA$15="Muy Alta",'Mapa final'!$AC$15="Menor"),CONCATENATE("R2C",'Mapa final'!$Q$15),"")</f>
        <v/>
      </c>
      <c r="Q7" s="44" t="str">
        <f>IF(AND('Mapa final'!$AA$16="Muy Alta",'Mapa final'!$AC$16="Menor"),CONCATENATE("R2C",'Mapa final'!$Q$16),"")</f>
        <v/>
      </c>
      <c r="R7" s="44" t="str">
        <f>IF(AND('Mapa final'!$AA$17="Muy Alta",'Mapa final'!$AC$17="Menor"),CONCATENATE("R2C",'Mapa final'!$Q$17),"")</f>
        <v/>
      </c>
      <c r="S7" s="44" t="e">
        <f>IF(AND('Mapa final'!#REF!="Muy Alta",'Mapa final'!#REF!="Menor"),CONCATENATE("R2C",'Mapa final'!#REF!),"")</f>
        <v>#REF!</v>
      </c>
      <c r="T7" s="44" t="str">
        <f>IF(AND('Mapa final'!$AA$18="Muy Alta",'Mapa final'!$AC$18="Menor"),CONCATENATE("R2C",'Mapa final'!$Q$18),"")</f>
        <v/>
      </c>
      <c r="U7" s="45" t="e">
        <f>IF(AND('Mapa final'!#REF!="Muy Alta",'Mapa final'!#REF!="Menor"),CONCATENATE("R2C",'Mapa final'!#REF!),"")</f>
        <v>#REF!</v>
      </c>
      <c r="V7" s="43" t="str">
        <f>IF(AND('Mapa final'!$AA$15="Muy Alta",'Mapa final'!$AC$15="Moderado"),CONCATENATE("R2C",'Mapa final'!$Q$15),"")</f>
        <v/>
      </c>
      <c r="W7" s="44" t="str">
        <f>IF(AND('Mapa final'!$AA$16="Muy Alta",'Mapa final'!$AC$16="Moderado"),CONCATENATE("R2C",'Mapa final'!$Q$16),"")</f>
        <v/>
      </c>
      <c r="X7" s="44" t="str">
        <f>IF(AND('Mapa final'!$AA$17="Muy Alta",'Mapa final'!$AC$17="Moderado"),CONCATENATE("R2C",'Mapa final'!$Q$17),"")</f>
        <v/>
      </c>
      <c r="Y7" s="44" t="e">
        <f>IF(AND('Mapa final'!#REF!="Muy Alta",'Mapa final'!#REF!="Moderado"),CONCATENATE("R2C",'Mapa final'!#REF!),"")</f>
        <v>#REF!</v>
      </c>
      <c r="Z7" s="44" t="str">
        <f>IF(AND('Mapa final'!$AA$18="Muy Alta",'Mapa final'!$AC$18="Moderado"),CONCATENATE("R2C",'Mapa final'!$Q$18),"")</f>
        <v/>
      </c>
      <c r="AA7" s="45" t="e">
        <f>IF(AND('Mapa final'!#REF!="Muy Alta",'Mapa final'!#REF!="Moderado"),CONCATENATE("R2C",'Mapa final'!#REF!),"")</f>
        <v>#REF!</v>
      </c>
      <c r="AB7" s="43" t="str">
        <f>IF(AND('Mapa final'!$AA$15="Muy Alta",'Mapa final'!$AC$15="Mayor"),CONCATENATE("R2C",'Mapa final'!$Q$15),"")</f>
        <v/>
      </c>
      <c r="AC7" s="44" t="str">
        <f>IF(AND('Mapa final'!$AA$16="Muy Alta",'Mapa final'!$AC$16="Mayor"),CONCATENATE("R2C",'Mapa final'!$Q$16),"")</f>
        <v/>
      </c>
      <c r="AD7" s="44" t="str">
        <f>IF(AND('Mapa final'!$AA$17="Muy Alta",'Mapa final'!$AC$17="Mayor"),CONCATENATE("R2C",'Mapa final'!$Q$17),"")</f>
        <v/>
      </c>
      <c r="AE7" s="44" t="e">
        <f>IF(AND('Mapa final'!#REF!="Muy Alta",'Mapa final'!#REF!="Mayor"),CONCATENATE("R2C",'Mapa final'!#REF!),"")</f>
        <v>#REF!</v>
      </c>
      <c r="AF7" s="44" t="str">
        <f>IF(AND('Mapa final'!$AA$18="Muy Alta",'Mapa final'!$AC$18="Mayor"),CONCATENATE("R2C",'Mapa final'!$Q$18),"")</f>
        <v/>
      </c>
      <c r="AG7" s="45" t="e">
        <f>IF(AND('Mapa final'!#REF!="Muy Alta",'Mapa final'!#REF!="Mayor"),CONCATENATE("R2C",'Mapa final'!#REF!),"")</f>
        <v>#REF!</v>
      </c>
      <c r="AH7" s="46" t="str">
        <f>IF(AND('Mapa final'!$AA$15="Muy Alta",'Mapa final'!$AC$15="Catastrófico"),CONCATENATE("R2C",'Mapa final'!$Q$15),"")</f>
        <v/>
      </c>
      <c r="AI7" s="47" t="str">
        <f>IF(AND('Mapa final'!$AA$16="Muy Alta",'Mapa final'!$AC$16="Catastrófico"),CONCATENATE("R2C",'Mapa final'!$Q$16),"")</f>
        <v/>
      </c>
      <c r="AJ7" s="47" t="str">
        <f>IF(AND('Mapa final'!$AA$17="Muy Alta",'Mapa final'!$AC$17="Catastrófico"),CONCATENATE("R2C",'Mapa final'!$Q$17),"")</f>
        <v/>
      </c>
      <c r="AK7" s="47" t="e">
        <f>IF(AND('Mapa final'!#REF!="Muy Alta",'Mapa final'!#REF!="Catastrófico"),CONCATENATE("R2C",'Mapa final'!#REF!),"")</f>
        <v>#REF!</v>
      </c>
      <c r="AL7" s="47" t="str">
        <f>IF(AND('Mapa final'!$AA$18="Muy Alta",'Mapa final'!$AC$18="Catastrófico"),CONCATENATE("R2C",'Mapa final'!$Q$18),"")</f>
        <v/>
      </c>
      <c r="AM7" s="48" t="e">
        <f>IF(AND('Mapa final'!#REF!="Muy Alta",'Mapa final'!#REF!="Catastrófico"),CONCATENATE("R2C",'Mapa final'!#REF!),"")</f>
        <v>#REF!</v>
      </c>
      <c r="AN7" s="74"/>
      <c r="AO7" s="411"/>
      <c r="AP7" s="412"/>
      <c r="AQ7" s="412"/>
      <c r="AR7" s="412"/>
      <c r="AS7" s="412"/>
      <c r="AT7" s="413"/>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row>
    <row r="8" spans="1:91" ht="15" customHeight="1" x14ac:dyDescent="0.25">
      <c r="A8" s="74"/>
      <c r="B8" s="306"/>
      <c r="C8" s="306"/>
      <c r="D8" s="307"/>
      <c r="E8" s="405"/>
      <c r="F8" s="404"/>
      <c r="G8" s="404"/>
      <c r="H8" s="404"/>
      <c r="I8" s="420"/>
      <c r="J8" s="43" t="e">
        <f>IF(AND('Mapa final'!#REF!="Muy Alta",'Mapa final'!#REF!="Leve"),CONCATENATE("R3C",'Mapa final'!#REF!),"")</f>
        <v>#REF!</v>
      </c>
      <c r="K8" s="44" t="e">
        <f>IF(AND('Mapa final'!#REF!="Muy Alta",'Mapa final'!#REF!="Leve"),CONCATENATE("R3C",'Mapa final'!#REF!),"")</f>
        <v>#REF!</v>
      </c>
      <c r="L8" s="44" t="e">
        <f>IF(AND('Mapa final'!#REF!="Muy Alta",'Mapa final'!#REF!="Leve"),CONCATENATE("R3C",'Mapa final'!#REF!),"")</f>
        <v>#REF!</v>
      </c>
      <c r="M8" s="44" t="e">
        <f>IF(AND('Mapa final'!#REF!="Muy Alta",'Mapa final'!#REF!="Leve"),CONCATENATE("R3C",'Mapa final'!#REF!),"")</f>
        <v>#REF!</v>
      </c>
      <c r="N8" s="44" t="str">
        <f>IF(AND('Mapa final'!$AA$19="Muy Alta",'Mapa final'!$AC$19="Leve"),CONCATENATE("R3C",'Mapa final'!$Q$19),"")</f>
        <v/>
      </c>
      <c r="O8" s="45" t="str">
        <f>IF(AND('Mapa final'!$AA$20="Muy Alta",'Mapa final'!$AC$20="Leve"),CONCATENATE("R3C",'Mapa final'!$Q$20),"")</f>
        <v/>
      </c>
      <c r="P8" s="43" t="e">
        <f>IF(AND('Mapa final'!#REF!="Muy Alta",'Mapa final'!#REF!="Menor"),CONCATENATE("R3C",'Mapa final'!#REF!),"")</f>
        <v>#REF!</v>
      </c>
      <c r="Q8" s="44" t="e">
        <f>IF(AND('Mapa final'!#REF!="Muy Alta",'Mapa final'!#REF!="Menor"),CONCATENATE("R3C",'Mapa final'!#REF!),"")</f>
        <v>#REF!</v>
      </c>
      <c r="R8" s="44" t="e">
        <f>IF(AND('Mapa final'!#REF!="Muy Alta",'Mapa final'!#REF!="Menor"),CONCATENATE("R3C",'Mapa final'!#REF!),"")</f>
        <v>#REF!</v>
      </c>
      <c r="S8" s="44" t="e">
        <f>IF(AND('Mapa final'!#REF!="Muy Alta",'Mapa final'!#REF!="Menor"),CONCATENATE("R3C",'Mapa final'!#REF!),"")</f>
        <v>#REF!</v>
      </c>
      <c r="T8" s="44" t="str">
        <f>IF(AND('Mapa final'!$AA$19="Muy Alta",'Mapa final'!$AC$19="Menor"),CONCATENATE("R3C",'Mapa final'!$Q$19),"")</f>
        <v/>
      </c>
      <c r="U8" s="45" t="str">
        <f>IF(AND('Mapa final'!$AA$20="Muy Alta",'Mapa final'!$AC$20="Menor"),CONCATENATE("R3C",'Mapa final'!$Q$20),"")</f>
        <v/>
      </c>
      <c r="V8" s="43" t="e">
        <f>IF(AND('Mapa final'!#REF!="Muy Alta",'Mapa final'!#REF!="Moderado"),CONCATENATE("R3C",'Mapa final'!#REF!),"")</f>
        <v>#REF!</v>
      </c>
      <c r="W8" s="44" t="e">
        <f>IF(AND('Mapa final'!#REF!="Muy Alta",'Mapa final'!#REF!="Moderado"),CONCATENATE("R3C",'Mapa final'!#REF!),"")</f>
        <v>#REF!</v>
      </c>
      <c r="X8" s="44" t="e">
        <f>IF(AND('Mapa final'!#REF!="Muy Alta",'Mapa final'!#REF!="Moderado"),CONCATENATE("R3C",'Mapa final'!#REF!),"")</f>
        <v>#REF!</v>
      </c>
      <c r="Y8" s="44" t="e">
        <f>IF(AND('Mapa final'!#REF!="Muy Alta",'Mapa final'!#REF!="Moderado"),CONCATENATE("R3C",'Mapa final'!#REF!),"")</f>
        <v>#REF!</v>
      </c>
      <c r="Z8" s="44" t="str">
        <f>IF(AND('Mapa final'!$AA$19="Muy Alta",'Mapa final'!$AC$19="Moderado"),CONCATENATE("R3C",'Mapa final'!$Q$19),"")</f>
        <v/>
      </c>
      <c r="AA8" s="45" t="str">
        <f>IF(AND('Mapa final'!$AA$20="Muy Alta",'Mapa final'!$AC$20="Moderado"),CONCATENATE("R3C",'Mapa final'!$Q$20),"")</f>
        <v/>
      </c>
      <c r="AB8" s="43" t="e">
        <f>IF(AND('Mapa final'!#REF!="Muy Alta",'Mapa final'!#REF!="Mayor"),CONCATENATE("R3C",'Mapa final'!#REF!),"")</f>
        <v>#REF!</v>
      </c>
      <c r="AC8" s="44" t="e">
        <f>IF(AND('Mapa final'!#REF!="Muy Alta",'Mapa final'!#REF!="Mayor"),CONCATENATE("R3C",'Mapa final'!#REF!),"")</f>
        <v>#REF!</v>
      </c>
      <c r="AD8" s="44" t="e">
        <f>IF(AND('Mapa final'!#REF!="Muy Alta",'Mapa final'!#REF!="Mayor"),CONCATENATE("R3C",'Mapa final'!#REF!),"")</f>
        <v>#REF!</v>
      </c>
      <c r="AE8" s="44" t="e">
        <f>IF(AND('Mapa final'!#REF!="Muy Alta",'Mapa final'!#REF!="Mayor"),CONCATENATE("R3C",'Mapa final'!#REF!),"")</f>
        <v>#REF!</v>
      </c>
      <c r="AF8" s="44" t="str">
        <f>IF(AND('Mapa final'!$AA$19="Muy Alta",'Mapa final'!$AC$19="Mayor"),CONCATENATE("R3C",'Mapa final'!$Q$19),"")</f>
        <v/>
      </c>
      <c r="AG8" s="45" t="str">
        <f>IF(AND('Mapa final'!$AA$20="Muy Alta",'Mapa final'!$AC$20="Mayor"),CONCATENATE("R3C",'Mapa final'!$Q$20),"")</f>
        <v/>
      </c>
      <c r="AH8" s="46" t="e">
        <f>IF(AND('Mapa final'!#REF!="Muy Alta",'Mapa final'!#REF!="Catastrófico"),CONCATENATE("R3C",'Mapa final'!#REF!),"")</f>
        <v>#REF!</v>
      </c>
      <c r="AI8" s="47" t="e">
        <f>IF(AND('Mapa final'!#REF!="Muy Alta",'Mapa final'!#REF!="Catastrófico"),CONCATENATE("R3C",'Mapa final'!#REF!),"")</f>
        <v>#REF!</v>
      </c>
      <c r="AJ8" s="47" t="e">
        <f>IF(AND('Mapa final'!#REF!="Muy Alta",'Mapa final'!#REF!="Catastrófico"),CONCATENATE("R3C",'Mapa final'!#REF!),"")</f>
        <v>#REF!</v>
      </c>
      <c r="AK8" s="47" t="e">
        <f>IF(AND('Mapa final'!#REF!="Muy Alta",'Mapa final'!#REF!="Catastrófico"),CONCATENATE("R3C",'Mapa final'!#REF!),"")</f>
        <v>#REF!</v>
      </c>
      <c r="AL8" s="47" t="str">
        <f>IF(AND('Mapa final'!$AA$19="Muy Alta",'Mapa final'!$AC$19="Catastrófico"),CONCATENATE("R3C",'Mapa final'!$Q$19),"")</f>
        <v/>
      </c>
      <c r="AM8" s="48" t="str">
        <f>IF(AND('Mapa final'!$AA$20="Muy Alta",'Mapa final'!$AC$20="Catastrófico"),CONCATENATE("R3C",'Mapa final'!$Q$20),"")</f>
        <v/>
      </c>
      <c r="AN8" s="74"/>
      <c r="AO8" s="411"/>
      <c r="AP8" s="412"/>
      <c r="AQ8" s="412"/>
      <c r="AR8" s="412"/>
      <c r="AS8" s="412"/>
      <c r="AT8" s="413"/>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row>
    <row r="9" spans="1:91" ht="15" customHeight="1" x14ac:dyDescent="0.25">
      <c r="A9" s="74"/>
      <c r="B9" s="306"/>
      <c r="C9" s="306"/>
      <c r="D9" s="307"/>
      <c r="E9" s="405"/>
      <c r="F9" s="404"/>
      <c r="G9" s="404"/>
      <c r="H9" s="404"/>
      <c r="I9" s="420"/>
      <c r="J9" s="43" t="e">
        <f>IF(AND('Mapa final'!#REF!="Muy Alta",'Mapa final'!#REF!="Leve"),CONCATENATE("R4C",'Mapa final'!#REF!),"")</f>
        <v>#REF!</v>
      </c>
      <c r="K9" s="44" t="e">
        <f>IF(AND('Mapa final'!#REF!="Muy Alta",'Mapa final'!#REF!="Leve"),CONCATENATE("R4C",'Mapa final'!#REF!),"")</f>
        <v>#REF!</v>
      </c>
      <c r="L9" s="44" t="str">
        <f>IF(AND('Mapa final'!$AA$23="Muy Alta",'Mapa final'!$AC$23="Leve"),CONCATENATE("R4C",'Mapa final'!$Q$23),"")</f>
        <v/>
      </c>
      <c r="M9" s="44" t="str">
        <f>IF(AND('Mapa final'!$AA$24="Muy Alta",'Mapa final'!$AC$24="Leve"),CONCATENATE("R4C",'Mapa final'!$Q$24),"")</f>
        <v/>
      </c>
      <c r="N9" s="44" t="e">
        <f>IF(AND('Mapa final'!#REF!="Muy Alta",'Mapa final'!#REF!="Leve"),CONCATENATE("R4C",'Mapa final'!#REF!),"")</f>
        <v>#REF!</v>
      </c>
      <c r="O9" s="45" t="str">
        <f>IF(AND('Mapa final'!$AA$25="Muy Alta",'Mapa final'!$AC$25="Leve"),CONCATENATE("R4C",'Mapa final'!$Q$25),"")</f>
        <v/>
      </c>
      <c r="P9" s="43" t="e">
        <f>IF(AND('Mapa final'!#REF!="Muy Alta",'Mapa final'!#REF!="Menor"),CONCATENATE("R4C",'Mapa final'!#REF!),"")</f>
        <v>#REF!</v>
      </c>
      <c r="Q9" s="44" t="e">
        <f>IF(AND('Mapa final'!#REF!="Muy Alta",'Mapa final'!#REF!="Menor"),CONCATENATE("R4C",'Mapa final'!#REF!),"")</f>
        <v>#REF!</v>
      </c>
      <c r="R9" s="44" t="str">
        <f>IF(AND('Mapa final'!$AA$23="Muy Alta",'Mapa final'!$AC$23="Menor"),CONCATENATE("R4C",'Mapa final'!$Q$23),"")</f>
        <v/>
      </c>
      <c r="S9" s="44" t="str">
        <f>IF(AND('Mapa final'!$AA$24="Muy Alta",'Mapa final'!$AC$24="Menor"),CONCATENATE("R4C",'Mapa final'!$Q$24),"")</f>
        <v/>
      </c>
      <c r="T9" s="44" t="e">
        <f>IF(AND('Mapa final'!#REF!="Muy Alta",'Mapa final'!#REF!="Menor"),CONCATENATE("R4C",'Mapa final'!#REF!),"")</f>
        <v>#REF!</v>
      </c>
      <c r="U9" s="45" t="str">
        <f>IF(AND('Mapa final'!$AA$25="Muy Alta",'Mapa final'!$AC$25="Menor"),CONCATENATE("R4C",'Mapa final'!$Q$25),"")</f>
        <v/>
      </c>
      <c r="V9" s="43" t="e">
        <f>IF(AND('Mapa final'!#REF!="Muy Alta",'Mapa final'!#REF!="Moderado"),CONCATENATE("R4C",'Mapa final'!#REF!),"")</f>
        <v>#REF!</v>
      </c>
      <c r="W9" s="44" t="e">
        <f>IF(AND('Mapa final'!#REF!="Muy Alta",'Mapa final'!#REF!="Moderado"),CONCATENATE("R4C",'Mapa final'!#REF!),"")</f>
        <v>#REF!</v>
      </c>
      <c r="X9" s="44" t="str">
        <f>IF(AND('Mapa final'!$AA$23="Muy Alta",'Mapa final'!$AC$23="Moderado"),CONCATENATE("R4C",'Mapa final'!$Q$23),"")</f>
        <v/>
      </c>
      <c r="Y9" s="44" t="str">
        <f>IF(AND('Mapa final'!$AA$24="Muy Alta",'Mapa final'!$AC$24="Moderado"),CONCATENATE("R4C",'Mapa final'!$Q$24),"")</f>
        <v/>
      </c>
      <c r="Z9" s="44" t="e">
        <f>IF(AND('Mapa final'!#REF!="Muy Alta",'Mapa final'!#REF!="Moderado"),CONCATENATE("R4C",'Mapa final'!#REF!),"")</f>
        <v>#REF!</v>
      </c>
      <c r="AA9" s="45" t="str">
        <f>IF(AND('Mapa final'!$AA$25="Muy Alta",'Mapa final'!$AC$25="Moderado"),CONCATENATE("R4C",'Mapa final'!$Q$25),"")</f>
        <v/>
      </c>
      <c r="AB9" s="43" t="e">
        <f>IF(AND('Mapa final'!#REF!="Muy Alta",'Mapa final'!#REF!="Mayor"),CONCATENATE("R4C",'Mapa final'!#REF!),"")</f>
        <v>#REF!</v>
      </c>
      <c r="AC9" s="44" t="e">
        <f>IF(AND('Mapa final'!#REF!="Muy Alta",'Mapa final'!#REF!="Mayor"),CONCATENATE("R4C",'Mapa final'!#REF!),"")</f>
        <v>#REF!</v>
      </c>
      <c r="AD9" s="44" t="str">
        <f>IF(AND('Mapa final'!$AA$23="Muy Alta",'Mapa final'!$AC$23="Mayor"),CONCATENATE("R4C",'Mapa final'!$Q$23),"")</f>
        <v/>
      </c>
      <c r="AE9" s="44" t="str">
        <f>IF(AND('Mapa final'!$AA$24="Muy Alta",'Mapa final'!$AC$24="Mayor"),CONCATENATE("R4C",'Mapa final'!$Q$24),"")</f>
        <v/>
      </c>
      <c r="AF9" s="44" t="e">
        <f>IF(AND('Mapa final'!#REF!="Muy Alta",'Mapa final'!#REF!="Mayor"),CONCATENATE("R4C",'Mapa final'!#REF!),"")</f>
        <v>#REF!</v>
      </c>
      <c r="AG9" s="45" t="str">
        <f>IF(AND('Mapa final'!$AA$25="Muy Alta",'Mapa final'!$AC$25="Mayor"),CONCATENATE("R4C",'Mapa final'!$Q$25),"")</f>
        <v/>
      </c>
      <c r="AH9" s="46" t="e">
        <f>IF(AND('Mapa final'!#REF!="Muy Alta",'Mapa final'!#REF!="Catastrófico"),CONCATENATE("R4C",'Mapa final'!#REF!),"")</f>
        <v>#REF!</v>
      </c>
      <c r="AI9" s="47" t="e">
        <f>IF(AND('Mapa final'!#REF!="Muy Alta",'Mapa final'!#REF!="Catastrófico"),CONCATENATE("R4C",'Mapa final'!#REF!),"")</f>
        <v>#REF!</v>
      </c>
      <c r="AJ9" s="47" t="str">
        <f>IF(AND('Mapa final'!$AA$23="Muy Alta",'Mapa final'!$AC$23="Catastrófico"),CONCATENATE("R4C",'Mapa final'!$Q$23),"")</f>
        <v/>
      </c>
      <c r="AK9" s="47" t="str">
        <f>IF(AND('Mapa final'!$AA$24="Muy Alta",'Mapa final'!$AC$24="Catastrófico"),CONCATENATE("R4C",'Mapa final'!$Q$24),"")</f>
        <v/>
      </c>
      <c r="AL9" s="47" t="e">
        <f>IF(AND('Mapa final'!#REF!="Muy Alta",'Mapa final'!#REF!="Catastrófico"),CONCATENATE("R4C",'Mapa final'!#REF!),"")</f>
        <v>#REF!</v>
      </c>
      <c r="AM9" s="48" t="str">
        <f>IF(AND('Mapa final'!$AA$25="Muy Alta",'Mapa final'!$AC$25="Catastrófico"),CONCATENATE("R4C",'Mapa final'!$Q$25),"")</f>
        <v/>
      </c>
      <c r="AN9" s="74"/>
      <c r="AO9" s="411"/>
      <c r="AP9" s="412"/>
      <c r="AQ9" s="412"/>
      <c r="AR9" s="412"/>
      <c r="AS9" s="412"/>
      <c r="AT9" s="413"/>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row>
    <row r="10" spans="1:91" ht="15" customHeight="1" x14ac:dyDescent="0.25">
      <c r="A10" s="74"/>
      <c r="B10" s="306"/>
      <c r="C10" s="306"/>
      <c r="D10" s="307"/>
      <c r="E10" s="405"/>
      <c r="F10" s="404"/>
      <c r="G10" s="404"/>
      <c r="H10" s="404"/>
      <c r="I10" s="420"/>
      <c r="J10" s="43" t="e">
        <f>IF(AND('Mapa final'!#REF!="Muy Alta",'Mapa final'!#REF!="Leve"),CONCATENATE("R5C",'Mapa final'!#REF!),"")</f>
        <v>#REF!</v>
      </c>
      <c r="K10" s="44" t="str">
        <f>IF(AND('Mapa final'!$AA$26="Muy Alta",'Mapa final'!$AC$26="Leve"),CONCATENATE("R5C",'Mapa final'!$Q$26),"")</f>
        <v/>
      </c>
      <c r="L10" s="44" t="str">
        <f>IF(AND('Mapa final'!$AA$27="Muy Alta",'Mapa final'!$AC$27="Leve"),CONCATENATE("R5C",'Mapa final'!$Q$27),"")</f>
        <v/>
      </c>
      <c r="M10" s="44" t="str">
        <f>IF(AND('Mapa final'!$AA$28="Muy Alta",'Mapa final'!$AC$28="Leve"),CONCATENATE("R5C",'Mapa final'!$Q$28),"")</f>
        <v/>
      </c>
      <c r="N10" s="44" t="str">
        <f>IF(AND('Mapa final'!$AA$29="Muy Alta",'Mapa final'!$AC$29="Leve"),CONCATENATE("R5C",'Mapa final'!$Q$29),"")</f>
        <v/>
      </c>
      <c r="O10" s="45" t="str">
        <f>IF(AND('Mapa final'!$AA$30="Muy Alta",'Mapa final'!$AC$30="Leve"),CONCATENATE("R5C",'Mapa final'!$Q$30),"")</f>
        <v/>
      </c>
      <c r="P10" s="43" t="e">
        <f>IF(AND('Mapa final'!#REF!="Muy Alta",'Mapa final'!#REF!="Menor"),CONCATENATE("R5C",'Mapa final'!#REF!),"")</f>
        <v>#REF!</v>
      </c>
      <c r="Q10" s="44" t="str">
        <f>IF(AND('Mapa final'!$AA$26="Muy Alta",'Mapa final'!$AC$26="Menor"),CONCATENATE("R5C",'Mapa final'!$Q$26),"")</f>
        <v/>
      </c>
      <c r="R10" s="44" t="str">
        <f>IF(AND('Mapa final'!$AA$27="Muy Alta",'Mapa final'!$AC$27="Menor"),CONCATENATE("R5C",'Mapa final'!$Q$27),"")</f>
        <v/>
      </c>
      <c r="S10" s="44" t="str">
        <f>IF(AND('Mapa final'!$AA$28="Muy Alta",'Mapa final'!$AC$28="Menor"),CONCATENATE("R5C",'Mapa final'!$Q$28),"")</f>
        <v/>
      </c>
      <c r="T10" s="44" t="str">
        <f>IF(AND('Mapa final'!$AA$29="Muy Alta",'Mapa final'!$AC$29="Menor"),CONCATENATE("R5C",'Mapa final'!$Q$29),"")</f>
        <v/>
      </c>
      <c r="U10" s="45" t="str">
        <f>IF(AND('Mapa final'!$AA$30="Muy Alta",'Mapa final'!$AC$30="Menor"),CONCATENATE("R5C",'Mapa final'!$Q$30),"")</f>
        <v/>
      </c>
      <c r="V10" s="43" t="e">
        <f>IF(AND('Mapa final'!#REF!="Muy Alta",'Mapa final'!#REF!="Moderado"),CONCATENATE("R5C",'Mapa final'!#REF!),"")</f>
        <v>#REF!</v>
      </c>
      <c r="W10" s="44" t="str">
        <f>IF(AND('Mapa final'!$AA$26="Muy Alta",'Mapa final'!$AC$26="Moderado"),CONCATENATE("R5C",'Mapa final'!$Q$26),"")</f>
        <v/>
      </c>
      <c r="X10" s="44" t="str">
        <f>IF(AND('Mapa final'!$AA$27="Muy Alta",'Mapa final'!$AC$27="Moderado"),CONCATENATE("R5C",'Mapa final'!$Q$27),"")</f>
        <v/>
      </c>
      <c r="Y10" s="44" t="str">
        <f>IF(AND('Mapa final'!$AA$28="Muy Alta",'Mapa final'!$AC$28="Moderado"),CONCATENATE("R5C",'Mapa final'!$Q$28),"")</f>
        <v/>
      </c>
      <c r="Z10" s="44" t="str">
        <f>IF(AND('Mapa final'!$AA$29="Muy Alta",'Mapa final'!$AC$29="Moderado"),CONCATENATE("R5C",'Mapa final'!$Q$29),"")</f>
        <v/>
      </c>
      <c r="AA10" s="45" t="str">
        <f>IF(AND('Mapa final'!$AA$30="Muy Alta",'Mapa final'!$AC$30="Moderado"),CONCATENATE("R5C",'Mapa final'!$Q$30),"")</f>
        <v/>
      </c>
      <c r="AB10" s="43" t="e">
        <f>IF(AND('Mapa final'!#REF!="Muy Alta",'Mapa final'!#REF!="Mayor"),CONCATENATE("R5C",'Mapa final'!#REF!),"")</f>
        <v>#REF!</v>
      </c>
      <c r="AC10" s="44" t="str">
        <f>IF(AND('Mapa final'!$AA$26="Muy Alta",'Mapa final'!$AC$26="Mayor"),CONCATENATE("R5C",'Mapa final'!$Q$26),"")</f>
        <v/>
      </c>
      <c r="AD10" s="44" t="str">
        <f>IF(AND('Mapa final'!$AA$27="Muy Alta",'Mapa final'!$AC$27="Mayor"),CONCATENATE("R5C",'Mapa final'!$Q$27),"")</f>
        <v/>
      </c>
      <c r="AE10" s="44" t="str">
        <f>IF(AND('Mapa final'!$AA$28="Muy Alta",'Mapa final'!$AC$28="Mayor"),CONCATENATE("R5C",'Mapa final'!$Q$28),"")</f>
        <v/>
      </c>
      <c r="AF10" s="44" t="str">
        <f>IF(AND('Mapa final'!$AA$29="Muy Alta",'Mapa final'!$AC$29="Mayor"),CONCATENATE("R5C",'Mapa final'!$Q$29),"")</f>
        <v/>
      </c>
      <c r="AG10" s="45" t="str">
        <f>IF(AND('Mapa final'!$AA$30="Muy Alta",'Mapa final'!$AC$30="Mayor"),CONCATENATE("R5C",'Mapa final'!$Q$30),"")</f>
        <v/>
      </c>
      <c r="AH10" s="46" t="e">
        <f>IF(AND('Mapa final'!#REF!="Muy Alta",'Mapa final'!#REF!="Catastrófico"),CONCATENATE("R5C",'Mapa final'!#REF!),"")</f>
        <v>#REF!</v>
      </c>
      <c r="AI10" s="47" t="str">
        <f>IF(AND('Mapa final'!$AA$26="Muy Alta",'Mapa final'!$AC$26="Catastrófico"),CONCATENATE("R5C",'Mapa final'!$Q$26),"")</f>
        <v/>
      </c>
      <c r="AJ10" s="47" t="str">
        <f>IF(AND('Mapa final'!$AA$27="Muy Alta",'Mapa final'!$AC$27="Catastrófico"),CONCATENATE("R5C",'Mapa final'!$Q$27),"")</f>
        <v/>
      </c>
      <c r="AK10" s="47" t="str">
        <f>IF(AND('Mapa final'!$AA$28="Muy Alta",'Mapa final'!$AC$28="Catastrófico"),CONCATENATE("R5C",'Mapa final'!$Q$28),"")</f>
        <v/>
      </c>
      <c r="AL10" s="47" t="str">
        <f>IF(AND('Mapa final'!$AA$29="Muy Alta",'Mapa final'!$AC$29="Catastrófico"),CONCATENATE("R5C",'Mapa final'!$Q$29),"")</f>
        <v/>
      </c>
      <c r="AM10" s="48" t="str">
        <f>IF(AND('Mapa final'!$AA$30="Muy Alta",'Mapa final'!$AC$30="Catastrófico"),CONCATENATE("R5C",'Mapa final'!$Q$30),"")</f>
        <v/>
      </c>
      <c r="AN10" s="74"/>
      <c r="AO10" s="411"/>
      <c r="AP10" s="412"/>
      <c r="AQ10" s="412"/>
      <c r="AR10" s="412"/>
      <c r="AS10" s="412"/>
      <c r="AT10" s="413"/>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row>
    <row r="11" spans="1:91" ht="15" customHeight="1" x14ac:dyDescent="0.25">
      <c r="A11" s="74"/>
      <c r="B11" s="306"/>
      <c r="C11" s="306"/>
      <c r="D11" s="307"/>
      <c r="E11" s="405"/>
      <c r="F11" s="404"/>
      <c r="G11" s="404"/>
      <c r="H11" s="404"/>
      <c r="I11" s="420"/>
      <c r="J11" s="43" t="str">
        <f>IF(AND('Mapa final'!$AA$32="Muy Alta",'Mapa final'!$AC$32="Leve"),CONCATENATE("R6C",'Mapa final'!$Q$32),"")</f>
        <v/>
      </c>
      <c r="K11" s="44" t="e">
        <f>IF(AND('Mapa final'!#REF!="Muy Alta",'Mapa final'!#REF!="Leve"),CONCATENATE("R6C",'Mapa final'!#REF!),"")</f>
        <v>#REF!</v>
      </c>
      <c r="L11" s="44" t="e">
        <f>IF(AND('Mapa final'!#REF!="Muy Alta",'Mapa final'!#REF!="Leve"),CONCATENATE("R6C",'Mapa final'!#REF!),"")</f>
        <v>#REF!</v>
      </c>
      <c r="M11" s="44" t="e">
        <f>IF(AND('Mapa final'!#REF!="Muy Alta",'Mapa final'!#REF!="Leve"),CONCATENATE("R6C",'Mapa final'!#REF!),"")</f>
        <v>#REF!</v>
      </c>
      <c r="N11" s="44" t="str">
        <f>IF(AND('Mapa final'!$AA$34="Muy Alta",'Mapa final'!$AC$34="Leve"),CONCATENATE("R6C",'Mapa final'!$Q$34),"")</f>
        <v/>
      </c>
      <c r="O11" s="45" t="e">
        <f>IF(AND('Mapa final'!#REF!="Muy Alta",'Mapa final'!#REF!="Leve"),CONCATENATE("R6C",'Mapa final'!#REF!),"")</f>
        <v>#REF!</v>
      </c>
      <c r="P11" s="43" t="str">
        <f>IF(AND('Mapa final'!$AA$32="Muy Alta",'Mapa final'!$AC$32="Menor"),CONCATENATE("R6C",'Mapa final'!$Q$32),"")</f>
        <v/>
      </c>
      <c r="Q11" s="44" t="e">
        <f>IF(AND('Mapa final'!#REF!="Muy Alta",'Mapa final'!#REF!="Menor"),CONCATENATE("R6C",'Mapa final'!#REF!),"")</f>
        <v>#REF!</v>
      </c>
      <c r="R11" s="44" t="e">
        <f>IF(AND('Mapa final'!#REF!="Muy Alta",'Mapa final'!#REF!="Menor"),CONCATENATE("R6C",'Mapa final'!#REF!),"")</f>
        <v>#REF!</v>
      </c>
      <c r="S11" s="44" t="e">
        <f>IF(AND('Mapa final'!#REF!="Muy Alta",'Mapa final'!#REF!="Menor"),CONCATENATE("R6C",'Mapa final'!#REF!),"")</f>
        <v>#REF!</v>
      </c>
      <c r="T11" s="44" t="str">
        <f>IF(AND('Mapa final'!$AA$34="Muy Alta",'Mapa final'!$AC$34="Menor"),CONCATENATE("R6C",'Mapa final'!$Q$34),"")</f>
        <v/>
      </c>
      <c r="U11" s="45" t="e">
        <f>IF(AND('Mapa final'!#REF!="Muy Alta",'Mapa final'!#REF!="Menor"),CONCATENATE("R6C",'Mapa final'!#REF!),"")</f>
        <v>#REF!</v>
      </c>
      <c r="V11" s="43" t="str">
        <f>IF(AND('Mapa final'!$AA$32="Muy Alta",'Mapa final'!$AC$32="Moderado"),CONCATENATE("R6C",'Mapa final'!$Q$32),"")</f>
        <v/>
      </c>
      <c r="W11" s="44" t="e">
        <f>IF(AND('Mapa final'!#REF!="Muy Alta",'Mapa final'!#REF!="Moderado"),CONCATENATE("R6C",'Mapa final'!#REF!),"")</f>
        <v>#REF!</v>
      </c>
      <c r="X11" s="44" t="e">
        <f>IF(AND('Mapa final'!#REF!="Muy Alta",'Mapa final'!#REF!="Moderado"),CONCATENATE("R6C",'Mapa final'!#REF!),"")</f>
        <v>#REF!</v>
      </c>
      <c r="Y11" s="44" t="e">
        <f>IF(AND('Mapa final'!#REF!="Muy Alta",'Mapa final'!#REF!="Moderado"),CONCATENATE("R6C",'Mapa final'!#REF!),"")</f>
        <v>#REF!</v>
      </c>
      <c r="Z11" s="44" t="str">
        <f>IF(AND('Mapa final'!$AA$34="Muy Alta",'Mapa final'!$AC$34="Moderado"),CONCATENATE("R6C",'Mapa final'!$Q$34),"")</f>
        <v/>
      </c>
      <c r="AA11" s="45" t="e">
        <f>IF(AND('Mapa final'!#REF!="Muy Alta",'Mapa final'!#REF!="Moderado"),CONCATENATE("R6C",'Mapa final'!#REF!),"")</f>
        <v>#REF!</v>
      </c>
      <c r="AB11" s="43" t="str">
        <f>IF(AND('Mapa final'!$AA$32="Muy Alta",'Mapa final'!$AC$32="Mayor"),CONCATENATE("R6C",'Mapa final'!$Q$32),"")</f>
        <v/>
      </c>
      <c r="AC11" s="44" t="e">
        <f>IF(AND('Mapa final'!#REF!="Muy Alta",'Mapa final'!#REF!="Mayor"),CONCATENATE("R6C",'Mapa final'!#REF!),"")</f>
        <v>#REF!</v>
      </c>
      <c r="AD11" s="44" t="e">
        <f>IF(AND('Mapa final'!#REF!="Muy Alta",'Mapa final'!#REF!="Mayor"),CONCATENATE("R6C",'Mapa final'!#REF!),"")</f>
        <v>#REF!</v>
      </c>
      <c r="AE11" s="44" t="e">
        <f>IF(AND('Mapa final'!#REF!="Muy Alta",'Mapa final'!#REF!="Mayor"),CONCATENATE("R6C",'Mapa final'!#REF!),"")</f>
        <v>#REF!</v>
      </c>
      <c r="AF11" s="44" t="str">
        <f>IF(AND('Mapa final'!$AA$34="Muy Alta",'Mapa final'!$AC$34="Mayor"),CONCATENATE("R6C",'Mapa final'!$Q$34),"")</f>
        <v/>
      </c>
      <c r="AG11" s="45" t="e">
        <f>IF(AND('Mapa final'!#REF!="Muy Alta",'Mapa final'!#REF!="Mayor"),CONCATENATE("R6C",'Mapa final'!#REF!),"")</f>
        <v>#REF!</v>
      </c>
      <c r="AH11" s="46" t="str">
        <f>IF(AND('Mapa final'!$AA$32="Muy Alta",'Mapa final'!$AC$32="Catastrófico"),CONCATENATE("R6C",'Mapa final'!$Q$32),"")</f>
        <v/>
      </c>
      <c r="AI11" s="47" t="e">
        <f>IF(AND('Mapa final'!#REF!="Muy Alta",'Mapa final'!#REF!="Catastrófico"),CONCATENATE("R6C",'Mapa final'!#REF!),"")</f>
        <v>#REF!</v>
      </c>
      <c r="AJ11" s="47" t="e">
        <f>IF(AND('Mapa final'!#REF!="Muy Alta",'Mapa final'!#REF!="Catastrófico"),CONCATENATE("R6C",'Mapa final'!#REF!),"")</f>
        <v>#REF!</v>
      </c>
      <c r="AK11" s="47" t="e">
        <f>IF(AND('Mapa final'!#REF!="Muy Alta",'Mapa final'!#REF!="Catastrófico"),CONCATENATE("R6C",'Mapa final'!#REF!),"")</f>
        <v>#REF!</v>
      </c>
      <c r="AL11" s="47" t="str">
        <f>IF(AND('Mapa final'!$AA$34="Muy Alta",'Mapa final'!$AC$34="Catastrófico"),CONCATENATE("R6C",'Mapa final'!$Q$34),"")</f>
        <v/>
      </c>
      <c r="AM11" s="48" t="e">
        <f>IF(AND('Mapa final'!#REF!="Muy Alta",'Mapa final'!#REF!="Catastrófico"),CONCATENATE("R6C",'Mapa final'!#REF!),"")</f>
        <v>#REF!</v>
      </c>
      <c r="AN11" s="74"/>
      <c r="AO11" s="411"/>
      <c r="AP11" s="412"/>
      <c r="AQ11" s="412"/>
      <c r="AR11" s="412"/>
      <c r="AS11" s="412"/>
      <c r="AT11" s="413"/>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row>
    <row r="12" spans="1:91" ht="15" customHeight="1" x14ac:dyDescent="0.25">
      <c r="A12" s="74"/>
      <c r="B12" s="306"/>
      <c r="C12" s="306"/>
      <c r="D12" s="307"/>
      <c r="E12" s="405"/>
      <c r="F12" s="404"/>
      <c r="G12" s="404"/>
      <c r="H12" s="404"/>
      <c r="I12" s="420"/>
      <c r="J12" s="43" t="e">
        <f>IF(AND('Mapa final'!#REF!="Muy Alta",'Mapa final'!#REF!="Leve"),CONCATENATE("R7C",'Mapa final'!#REF!),"")</f>
        <v>#REF!</v>
      </c>
      <c r="K12" s="44" t="str">
        <f>IF(AND('Mapa final'!$AA$39="Muy Alta",'Mapa final'!$AC$39="Leve"),CONCATENATE("R7C",'Mapa final'!$Q$39),"")</f>
        <v/>
      </c>
      <c r="L12" s="44" t="str">
        <f>IF(AND('Mapa final'!$AA$40="Muy Alta",'Mapa final'!$AC$40="Leve"),CONCATENATE("R7C",'Mapa final'!$Q$40),"")</f>
        <v/>
      </c>
      <c r="M12" s="44" t="e">
        <f>IF(AND('Mapa final'!#REF!="Muy Alta",'Mapa final'!#REF!="Leve"),CONCATENATE("R7C",'Mapa final'!#REF!),"")</f>
        <v>#REF!</v>
      </c>
      <c r="N12" s="44" t="e">
        <f>IF(AND('Mapa final'!#REF!="Muy Alta",'Mapa final'!#REF!="Leve"),CONCATENATE("R7C",'Mapa final'!#REF!),"")</f>
        <v>#REF!</v>
      </c>
      <c r="O12" s="45" t="e">
        <f>IF(AND('Mapa final'!#REF!="Muy Alta",'Mapa final'!#REF!="Leve"),CONCATENATE("R7C",'Mapa final'!#REF!),"")</f>
        <v>#REF!</v>
      </c>
      <c r="P12" s="43" t="e">
        <f>IF(AND('Mapa final'!#REF!="Muy Alta",'Mapa final'!#REF!="Menor"),CONCATENATE("R7C",'Mapa final'!#REF!),"")</f>
        <v>#REF!</v>
      </c>
      <c r="Q12" s="44" t="str">
        <f>IF(AND('Mapa final'!$AA$39="Muy Alta",'Mapa final'!$AC$39="Menor"),CONCATENATE("R7C",'Mapa final'!$Q$39),"")</f>
        <v/>
      </c>
      <c r="R12" s="44" t="str">
        <f>IF(AND('Mapa final'!$AA$40="Muy Alta",'Mapa final'!$AC$40="Menor"),CONCATENATE("R7C",'Mapa final'!$Q$40),"")</f>
        <v/>
      </c>
      <c r="S12" s="44" t="e">
        <f>IF(AND('Mapa final'!#REF!="Muy Alta",'Mapa final'!#REF!="Menor"),CONCATENATE("R7C",'Mapa final'!#REF!),"")</f>
        <v>#REF!</v>
      </c>
      <c r="T12" s="44" t="e">
        <f>IF(AND('Mapa final'!#REF!="Muy Alta",'Mapa final'!#REF!="Menor"),CONCATENATE("R7C",'Mapa final'!#REF!),"")</f>
        <v>#REF!</v>
      </c>
      <c r="U12" s="45" t="e">
        <f>IF(AND('Mapa final'!#REF!="Muy Alta",'Mapa final'!#REF!="Menor"),CONCATENATE("R7C",'Mapa final'!#REF!),"")</f>
        <v>#REF!</v>
      </c>
      <c r="V12" s="43" t="e">
        <f>IF(AND('Mapa final'!#REF!="Muy Alta",'Mapa final'!#REF!="Moderado"),CONCATENATE("R7C",'Mapa final'!#REF!),"")</f>
        <v>#REF!</v>
      </c>
      <c r="W12" s="44" t="str">
        <f>IF(AND('Mapa final'!$AA$39="Muy Alta",'Mapa final'!$AC$39="Moderado"),CONCATENATE("R7C",'Mapa final'!$Q$39),"")</f>
        <v/>
      </c>
      <c r="X12" s="44" t="str">
        <f>IF(AND('Mapa final'!$AA$40="Muy Alta",'Mapa final'!$AC$40="Moderado"),CONCATENATE("R7C",'Mapa final'!$Q$40),"")</f>
        <v/>
      </c>
      <c r="Y12" s="44" t="e">
        <f>IF(AND('Mapa final'!#REF!="Muy Alta",'Mapa final'!#REF!="Moderado"),CONCATENATE("R7C",'Mapa final'!#REF!),"")</f>
        <v>#REF!</v>
      </c>
      <c r="Z12" s="44" t="e">
        <f>IF(AND('Mapa final'!#REF!="Muy Alta",'Mapa final'!#REF!="Moderado"),CONCATENATE("R7C",'Mapa final'!#REF!),"")</f>
        <v>#REF!</v>
      </c>
      <c r="AA12" s="45" t="e">
        <f>IF(AND('Mapa final'!#REF!="Muy Alta",'Mapa final'!#REF!="Moderado"),CONCATENATE("R7C",'Mapa final'!#REF!),"")</f>
        <v>#REF!</v>
      </c>
      <c r="AB12" s="43" t="e">
        <f>IF(AND('Mapa final'!#REF!="Muy Alta",'Mapa final'!#REF!="Mayor"),CONCATENATE("R7C",'Mapa final'!#REF!),"")</f>
        <v>#REF!</v>
      </c>
      <c r="AC12" s="44" t="str">
        <f>IF(AND('Mapa final'!$AA$39="Muy Alta",'Mapa final'!$AC$39="Mayor"),CONCATENATE("R7C",'Mapa final'!$Q$39),"")</f>
        <v/>
      </c>
      <c r="AD12" s="44" t="str">
        <f>IF(AND('Mapa final'!$AA$40="Muy Alta",'Mapa final'!$AC$40="Mayor"),CONCATENATE("R7C",'Mapa final'!$Q$40),"")</f>
        <v/>
      </c>
      <c r="AE12" s="44" t="e">
        <f>IF(AND('Mapa final'!#REF!="Muy Alta",'Mapa final'!#REF!="Mayor"),CONCATENATE("R7C",'Mapa final'!#REF!),"")</f>
        <v>#REF!</v>
      </c>
      <c r="AF12" s="44" t="e">
        <f>IF(AND('Mapa final'!#REF!="Muy Alta",'Mapa final'!#REF!="Mayor"),CONCATENATE("R7C",'Mapa final'!#REF!),"")</f>
        <v>#REF!</v>
      </c>
      <c r="AG12" s="45" t="e">
        <f>IF(AND('Mapa final'!#REF!="Muy Alta",'Mapa final'!#REF!="Mayor"),CONCATENATE("R7C",'Mapa final'!#REF!),"")</f>
        <v>#REF!</v>
      </c>
      <c r="AH12" s="46" t="e">
        <f>IF(AND('Mapa final'!#REF!="Muy Alta",'Mapa final'!#REF!="Catastrófico"),CONCATENATE("R7C",'Mapa final'!#REF!),"")</f>
        <v>#REF!</v>
      </c>
      <c r="AI12" s="47" t="str">
        <f>IF(AND('Mapa final'!$AA$39="Muy Alta",'Mapa final'!$AC$39="Catastrófico"),CONCATENATE("R7C",'Mapa final'!$Q$39),"")</f>
        <v/>
      </c>
      <c r="AJ12" s="47" t="str">
        <f>IF(AND('Mapa final'!$AA$40="Muy Alta",'Mapa final'!$AC$40="Catastrófico"),CONCATENATE("R7C",'Mapa final'!$Q$40),"")</f>
        <v/>
      </c>
      <c r="AK12" s="47" t="e">
        <f>IF(AND('Mapa final'!#REF!="Muy Alta",'Mapa final'!#REF!="Catastrófico"),CONCATENATE("R7C",'Mapa final'!#REF!),"")</f>
        <v>#REF!</v>
      </c>
      <c r="AL12" s="47" t="e">
        <f>IF(AND('Mapa final'!#REF!="Muy Alta",'Mapa final'!#REF!="Catastrófico"),CONCATENATE("R7C",'Mapa final'!#REF!),"")</f>
        <v>#REF!</v>
      </c>
      <c r="AM12" s="48" t="e">
        <f>IF(AND('Mapa final'!#REF!="Muy Alta",'Mapa final'!#REF!="Catastrófico"),CONCATENATE("R7C",'Mapa final'!#REF!),"")</f>
        <v>#REF!</v>
      </c>
      <c r="AN12" s="74"/>
      <c r="AO12" s="411"/>
      <c r="AP12" s="412"/>
      <c r="AQ12" s="412"/>
      <c r="AR12" s="412"/>
      <c r="AS12" s="412"/>
      <c r="AT12" s="413"/>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row>
    <row r="13" spans="1:91" ht="15" customHeight="1" x14ac:dyDescent="0.25">
      <c r="A13" s="74"/>
      <c r="B13" s="306"/>
      <c r="C13" s="306"/>
      <c r="D13" s="307"/>
      <c r="E13" s="405"/>
      <c r="F13" s="404"/>
      <c r="G13" s="404"/>
      <c r="H13" s="404"/>
      <c r="I13" s="420"/>
      <c r="J13" s="43" t="e">
        <f>IF(AND('Mapa final'!#REF!="Muy Alta",'Mapa final'!#REF!="Leve"),CONCATENATE("R8C",'Mapa final'!#REF!),"")</f>
        <v>#REF!</v>
      </c>
      <c r="K13" s="44" t="e">
        <f>IF(AND('Mapa final'!#REF!="Muy Alta",'Mapa final'!#REF!="Leve"),CONCATENATE("R8C",'Mapa final'!#REF!),"")</f>
        <v>#REF!</v>
      </c>
      <c r="L13" s="44" t="e">
        <f>IF(AND('Mapa final'!#REF!="Muy Alta",'Mapa final'!#REF!="Leve"),CONCATENATE("R8C",'Mapa final'!#REF!),"")</f>
        <v>#REF!</v>
      </c>
      <c r="M13" s="44" t="str">
        <f>IF(AND('Mapa final'!$AA$41="Muy Alta",'Mapa final'!$AC$41="Leve"),CONCATENATE("R8C",'Mapa final'!$Q$41),"")</f>
        <v/>
      </c>
      <c r="N13" s="44" t="e">
        <f>IF(AND('Mapa final'!#REF!="Muy Alta",'Mapa final'!#REF!="Leve"),CONCATENATE("R8C",'Mapa final'!#REF!),"")</f>
        <v>#REF!</v>
      </c>
      <c r="O13" s="45" t="e">
        <f>IF(AND('Mapa final'!#REF!="Muy Alta",'Mapa final'!#REF!="Leve"),CONCATENATE("R8C",'Mapa final'!#REF!),"")</f>
        <v>#REF!</v>
      </c>
      <c r="P13" s="43" t="e">
        <f>IF(AND('Mapa final'!#REF!="Muy Alta",'Mapa final'!#REF!="Menor"),CONCATENATE("R8C",'Mapa final'!#REF!),"")</f>
        <v>#REF!</v>
      </c>
      <c r="Q13" s="44" t="e">
        <f>IF(AND('Mapa final'!#REF!="Muy Alta",'Mapa final'!#REF!="Menor"),CONCATENATE("R8C",'Mapa final'!#REF!),"")</f>
        <v>#REF!</v>
      </c>
      <c r="R13" s="44" t="e">
        <f>IF(AND('Mapa final'!#REF!="Muy Alta",'Mapa final'!#REF!="Menor"),CONCATENATE("R8C",'Mapa final'!#REF!),"")</f>
        <v>#REF!</v>
      </c>
      <c r="S13" s="44" t="str">
        <f>IF(AND('Mapa final'!$AA$41="Muy Alta",'Mapa final'!$AC$41="Menor"),CONCATENATE("R8C",'Mapa final'!$Q$41),"")</f>
        <v/>
      </c>
      <c r="T13" s="44" t="e">
        <f>IF(AND('Mapa final'!#REF!="Muy Alta",'Mapa final'!#REF!="Menor"),CONCATENATE("R8C",'Mapa final'!#REF!),"")</f>
        <v>#REF!</v>
      </c>
      <c r="U13" s="45" t="e">
        <f>IF(AND('Mapa final'!#REF!="Muy Alta",'Mapa final'!#REF!="Menor"),CONCATENATE("R8C",'Mapa final'!#REF!),"")</f>
        <v>#REF!</v>
      </c>
      <c r="V13" s="43" t="e">
        <f>IF(AND('Mapa final'!#REF!="Muy Alta",'Mapa final'!#REF!="Moderado"),CONCATENATE("R8C",'Mapa final'!#REF!),"")</f>
        <v>#REF!</v>
      </c>
      <c r="W13" s="44" t="e">
        <f>IF(AND('Mapa final'!#REF!="Muy Alta",'Mapa final'!#REF!="Moderado"),CONCATENATE("R8C",'Mapa final'!#REF!),"")</f>
        <v>#REF!</v>
      </c>
      <c r="X13" s="44" t="e">
        <f>IF(AND('Mapa final'!#REF!="Muy Alta",'Mapa final'!#REF!="Moderado"),CONCATENATE("R8C",'Mapa final'!#REF!),"")</f>
        <v>#REF!</v>
      </c>
      <c r="Y13" s="44" t="str">
        <f>IF(AND('Mapa final'!$AA$41="Muy Alta",'Mapa final'!$AC$41="Moderado"),CONCATENATE("R8C",'Mapa final'!$Q$41),"")</f>
        <v/>
      </c>
      <c r="Z13" s="44" t="e">
        <f>IF(AND('Mapa final'!#REF!="Muy Alta",'Mapa final'!#REF!="Moderado"),CONCATENATE("R8C",'Mapa final'!#REF!),"")</f>
        <v>#REF!</v>
      </c>
      <c r="AA13" s="45" t="e">
        <f>IF(AND('Mapa final'!#REF!="Muy Alta",'Mapa final'!#REF!="Moderado"),CONCATENATE("R8C",'Mapa final'!#REF!),"")</f>
        <v>#REF!</v>
      </c>
      <c r="AB13" s="43" t="e">
        <f>IF(AND('Mapa final'!#REF!="Muy Alta",'Mapa final'!#REF!="Mayor"),CONCATENATE("R8C",'Mapa final'!#REF!),"")</f>
        <v>#REF!</v>
      </c>
      <c r="AC13" s="44" t="e">
        <f>IF(AND('Mapa final'!#REF!="Muy Alta",'Mapa final'!#REF!="Mayor"),CONCATENATE("R8C",'Mapa final'!#REF!),"")</f>
        <v>#REF!</v>
      </c>
      <c r="AD13" s="44" t="e">
        <f>IF(AND('Mapa final'!#REF!="Muy Alta",'Mapa final'!#REF!="Mayor"),CONCATENATE("R8C",'Mapa final'!#REF!),"")</f>
        <v>#REF!</v>
      </c>
      <c r="AE13" s="44" t="str">
        <f>IF(AND('Mapa final'!$AA$41="Muy Alta",'Mapa final'!$AC$41="Mayor"),CONCATENATE("R8C",'Mapa final'!$Q$41),"")</f>
        <v/>
      </c>
      <c r="AF13" s="44" t="e">
        <f>IF(AND('Mapa final'!#REF!="Muy Alta",'Mapa final'!#REF!="Mayor"),CONCATENATE("R8C",'Mapa final'!#REF!),"")</f>
        <v>#REF!</v>
      </c>
      <c r="AG13" s="45" t="e">
        <f>IF(AND('Mapa final'!#REF!="Muy Alta",'Mapa final'!#REF!="Mayor"),CONCATENATE("R8C",'Mapa final'!#REF!),"")</f>
        <v>#REF!</v>
      </c>
      <c r="AH13" s="46" t="e">
        <f>IF(AND('Mapa final'!#REF!="Muy Alta",'Mapa final'!#REF!="Catastrófico"),CONCATENATE("R8C",'Mapa final'!#REF!),"")</f>
        <v>#REF!</v>
      </c>
      <c r="AI13" s="47" t="e">
        <f>IF(AND('Mapa final'!#REF!="Muy Alta",'Mapa final'!#REF!="Catastrófico"),CONCATENATE("R8C",'Mapa final'!#REF!),"")</f>
        <v>#REF!</v>
      </c>
      <c r="AJ13" s="47" t="e">
        <f>IF(AND('Mapa final'!#REF!="Muy Alta",'Mapa final'!#REF!="Catastrófico"),CONCATENATE("R8C",'Mapa final'!#REF!),"")</f>
        <v>#REF!</v>
      </c>
      <c r="AK13" s="47" t="str">
        <f>IF(AND('Mapa final'!$AA$41="Muy Alta",'Mapa final'!$AC$41="Catastrófico"),CONCATENATE("R8C",'Mapa final'!$Q$41),"")</f>
        <v/>
      </c>
      <c r="AL13" s="47" t="e">
        <f>IF(AND('Mapa final'!#REF!="Muy Alta",'Mapa final'!#REF!="Catastrófico"),CONCATENATE("R8C",'Mapa final'!#REF!),"")</f>
        <v>#REF!</v>
      </c>
      <c r="AM13" s="48" t="e">
        <f>IF(AND('Mapa final'!#REF!="Muy Alta",'Mapa final'!#REF!="Catastrófico"),CONCATENATE("R8C",'Mapa final'!#REF!),"")</f>
        <v>#REF!</v>
      </c>
      <c r="AN13" s="74"/>
      <c r="AO13" s="411"/>
      <c r="AP13" s="412"/>
      <c r="AQ13" s="412"/>
      <c r="AR13" s="412"/>
      <c r="AS13" s="412"/>
      <c r="AT13" s="413"/>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row>
    <row r="14" spans="1:91" ht="15" customHeight="1" x14ac:dyDescent="0.25">
      <c r="A14" s="74"/>
      <c r="B14" s="306"/>
      <c r="C14" s="306"/>
      <c r="D14" s="307"/>
      <c r="E14" s="405"/>
      <c r="F14" s="404"/>
      <c r="G14" s="404"/>
      <c r="H14" s="404"/>
      <c r="I14" s="420"/>
      <c r="J14" s="43" t="str">
        <f>IF(AND('Mapa final'!$AA$42="Muy Alta",'Mapa final'!$AC$42="Leve"),CONCATENATE("R9C",'Mapa final'!$Q$42),"")</f>
        <v/>
      </c>
      <c r="K14" s="44" t="str">
        <f>IF(AND('Mapa final'!$AA$43="Muy Alta",'Mapa final'!$AC$43="Leve"),CONCATENATE("R9C",'Mapa final'!$Q$43),"")</f>
        <v/>
      </c>
      <c r="L14" s="44" t="e">
        <f>IF(AND('Mapa final'!#REF!="Muy Alta",'Mapa final'!#REF!="Leve"),CONCATENATE("R9C",'Mapa final'!#REF!),"")</f>
        <v>#REF!</v>
      </c>
      <c r="M14" s="44" t="e">
        <f>IF(AND('Mapa final'!#REF!="Muy Alta",'Mapa final'!#REF!="Leve"),CONCATENATE("R9C",'Mapa final'!#REF!),"")</f>
        <v>#REF!</v>
      </c>
      <c r="N14" s="44" t="str">
        <f>IF(AND('Mapa final'!$AA$45="Muy Alta",'Mapa final'!$AC$45="Leve"),CONCATENATE("R9C",'Mapa final'!$Q$45),"")</f>
        <v/>
      </c>
      <c r="O14" s="45" t="e">
        <f>IF(AND('Mapa final'!#REF!="Muy Alta",'Mapa final'!#REF!="Leve"),CONCATENATE("R9C",'Mapa final'!#REF!),"")</f>
        <v>#REF!</v>
      </c>
      <c r="P14" s="43" t="str">
        <f>IF(AND('Mapa final'!$AA$42="Muy Alta",'Mapa final'!$AC$42="Menor"),CONCATENATE("R9C",'Mapa final'!$Q$42),"")</f>
        <v/>
      </c>
      <c r="Q14" s="44" t="str">
        <f>IF(AND('Mapa final'!$AA$43="Muy Alta",'Mapa final'!$AC$43="Menor"),CONCATENATE("R9C",'Mapa final'!$Q$43),"")</f>
        <v/>
      </c>
      <c r="R14" s="44" t="e">
        <f>IF(AND('Mapa final'!#REF!="Muy Alta",'Mapa final'!#REF!="Menor"),CONCATENATE("R9C",'Mapa final'!#REF!),"")</f>
        <v>#REF!</v>
      </c>
      <c r="S14" s="44" t="e">
        <f>IF(AND('Mapa final'!#REF!="Muy Alta",'Mapa final'!#REF!="Menor"),CONCATENATE("R9C",'Mapa final'!#REF!),"")</f>
        <v>#REF!</v>
      </c>
      <c r="T14" s="44" t="str">
        <f>IF(AND('Mapa final'!$AA$45="Muy Alta",'Mapa final'!$AC$45="Menor"),CONCATENATE("R9C",'Mapa final'!$Q$45),"")</f>
        <v/>
      </c>
      <c r="U14" s="45" t="e">
        <f>IF(AND('Mapa final'!#REF!="Muy Alta",'Mapa final'!#REF!="Menor"),CONCATENATE("R9C",'Mapa final'!#REF!),"")</f>
        <v>#REF!</v>
      </c>
      <c r="V14" s="43" t="str">
        <f>IF(AND('Mapa final'!$AA$42="Muy Alta",'Mapa final'!$AC$42="Moderado"),CONCATENATE("R9C",'Mapa final'!$Q$42),"")</f>
        <v/>
      </c>
      <c r="W14" s="44" t="str">
        <f>IF(AND('Mapa final'!$AA$43="Muy Alta",'Mapa final'!$AC$43="Moderado"),CONCATENATE("R9C",'Mapa final'!$Q$43),"")</f>
        <v/>
      </c>
      <c r="X14" s="44" t="e">
        <f>IF(AND('Mapa final'!#REF!="Muy Alta",'Mapa final'!#REF!="Moderado"),CONCATENATE("R9C",'Mapa final'!#REF!),"")</f>
        <v>#REF!</v>
      </c>
      <c r="Y14" s="44" t="e">
        <f>IF(AND('Mapa final'!#REF!="Muy Alta",'Mapa final'!#REF!="Moderado"),CONCATENATE("R9C",'Mapa final'!#REF!),"")</f>
        <v>#REF!</v>
      </c>
      <c r="Z14" s="44" t="str">
        <f>IF(AND('Mapa final'!$AA$45="Muy Alta",'Mapa final'!$AC$45="Moderado"),CONCATENATE("R9C",'Mapa final'!$Q$45),"")</f>
        <v/>
      </c>
      <c r="AA14" s="45" t="e">
        <f>IF(AND('Mapa final'!#REF!="Muy Alta",'Mapa final'!#REF!="Moderado"),CONCATENATE("R9C",'Mapa final'!#REF!),"")</f>
        <v>#REF!</v>
      </c>
      <c r="AB14" s="43" t="str">
        <f>IF(AND('Mapa final'!$AA$42="Muy Alta",'Mapa final'!$AC$42="Mayor"),CONCATENATE("R9C",'Mapa final'!$Q$42),"")</f>
        <v/>
      </c>
      <c r="AC14" s="44" t="str">
        <f>IF(AND('Mapa final'!$AA$43="Muy Alta",'Mapa final'!$AC$43="Mayor"),CONCATENATE("R9C",'Mapa final'!$Q$43),"")</f>
        <v/>
      </c>
      <c r="AD14" s="44" t="e">
        <f>IF(AND('Mapa final'!#REF!="Muy Alta",'Mapa final'!#REF!="Mayor"),CONCATENATE("R9C",'Mapa final'!#REF!),"")</f>
        <v>#REF!</v>
      </c>
      <c r="AE14" s="44" t="e">
        <f>IF(AND('Mapa final'!#REF!="Muy Alta",'Mapa final'!#REF!="Mayor"),CONCATENATE("R9C",'Mapa final'!#REF!),"")</f>
        <v>#REF!</v>
      </c>
      <c r="AF14" s="44" t="str">
        <f>IF(AND('Mapa final'!$AA$45="Muy Alta",'Mapa final'!$AC$45="Mayor"),CONCATENATE("R9C",'Mapa final'!$Q$45),"")</f>
        <v/>
      </c>
      <c r="AG14" s="45" t="e">
        <f>IF(AND('Mapa final'!#REF!="Muy Alta",'Mapa final'!#REF!="Mayor"),CONCATENATE("R9C",'Mapa final'!#REF!),"")</f>
        <v>#REF!</v>
      </c>
      <c r="AH14" s="46" t="str">
        <f>IF(AND('Mapa final'!$AA$42="Muy Alta",'Mapa final'!$AC$42="Catastrófico"),CONCATENATE("R9C",'Mapa final'!$Q$42),"")</f>
        <v/>
      </c>
      <c r="AI14" s="47" t="str">
        <f>IF(AND('Mapa final'!$AA$43="Muy Alta",'Mapa final'!$AC$43="Catastrófico"),CONCATENATE("R9C",'Mapa final'!$Q$43),"")</f>
        <v/>
      </c>
      <c r="AJ14" s="47" t="e">
        <f>IF(AND('Mapa final'!#REF!="Muy Alta",'Mapa final'!#REF!="Catastrófico"),CONCATENATE("R9C",'Mapa final'!#REF!),"")</f>
        <v>#REF!</v>
      </c>
      <c r="AK14" s="47" t="e">
        <f>IF(AND('Mapa final'!#REF!="Muy Alta",'Mapa final'!#REF!="Catastrófico"),CONCATENATE("R9C",'Mapa final'!#REF!),"")</f>
        <v>#REF!</v>
      </c>
      <c r="AL14" s="47" t="str">
        <f>IF(AND('Mapa final'!$AA$45="Muy Alta",'Mapa final'!$AC$45="Catastrófico"),CONCATENATE("R9C",'Mapa final'!$Q$45),"")</f>
        <v/>
      </c>
      <c r="AM14" s="48" t="e">
        <f>IF(AND('Mapa final'!#REF!="Muy Alta",'Mapa final'!#REF!="Catastrófico"),CONCATENATE("R9C",'Mapa final'!#REF!),"")</f>
        <v>#REF!</v>
      </c>
      <c r="AN14" s="74"/>
      <c r="AO14" s="411"/>
      <c r="AP14" s="412"/>
      <c r="AQ14" s="412"/>
      <c r="AR14" s="412"/>
      <c r="AS14" s="412"/>
      <c r="AT14" s="413"/>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row>
    <row r="15" spans="1:91" ht="15.75" customHeight="1" thickBot="1" x14ac:dyDescent="0.3">
      <c r="A15" s="74"/>
      <c r="B15" s="306"/>
      <c r="C15" s="306"/>
      <c r="D15" s="307"/>
      <c r="E15" s="406"/>
      <c r="F15" s="407"/>
      <c r="G15" s="407"/>
      <c r="H15" s="407"/>
      <c r="I15" s="421"/>
      <c r="J15" s="49" t="e">
        <f>IF(AND('Mapa final'!#REF!="Muy Alta",'Mapa final'!#REF!="Leve"),CONCATENATE("R10C",'Mapa final'!#REF!),"")</f>
        <v>#REF!</v>
      </c>
      <c r="K15" s="50" t="str">
        <f>IF(AND('Mapa final'!$AA$46="Muy Alta",'Mapa final'!$AC$46="Leve"),CONCATENATE("R10C",'Mapa final'!$Q$46),"")</f>
        <v/>
      </c>
      <c r="L15" s="50" t="e">
        <f>IF(AND('Mapa final'!#REF!="Muy Alta",'Mapa final'!#REF!="Leve"),CONCATENATE("R10C",'Mapa final'!#REF!),"")</f>
        <v>#REF!</v>
      </c>
      <c r="M15" s="50" t="e">
        <f>IF(AND('Mapa final'!#REF!="Muy Alta",'Mapa final'!#REF!="Leve"),CONCATENATE("R10C",'Mapa final'!#REF!),"")</f>
        <v>#REF!</v>
      </c>
      <c r="N15" s="50" t="e">
        <f>IF(AND('Mapa final'!#REF!="Muy Alta",'Mapa final'!#REF!="Leve"),CONCATENATE("R10C",'Mapa final'!#REF!),"")</f>
        <v>#REF!</v>
      </c>
      <c r="O15" s="51" t="e">
        <f>IF(AND('Mapa final'!#REF!="Muy Alta",'Mapa final'!#REF!="Leve"),CONCATENATE("R10C",'Mapa final'!#REF!),"")</f>
        <v>#REF!</v>
      </c>
      <c r="P15" s="43" t="e">
        <f>IF(AND('Mapa final'!#REF!="Muy Alta",'Mapa final'!#REF!="Menor"),CONCATENATE("R10C",'Mapa final'!#REF!),"")</f>
        <v>#REF!</v>
      </c>
      <c r="Q15" s="44" t="str">
        <f>IF(AND('Mapa final'!$AA$46="Muy Alta",'Mapa final'!$AC$46="Menor"),CONCATENATE("R10C",'Mapa final'!$Q$46),"")</f>
        <v/>
      </c>
      <c r="R15" s="44" t="e">
        <f>IF(AND('Mapa final'!#REF!="Muy Alta",'Mapa final'!#REF!="Menor"),CONCATENATE("R10C",'Mapa final'!#REF!),"")</f>
        <v>#REF!</v>
      </c>
      <c r="S15" s="44" t="e">
        <f>IF(AND('Mapa final'!#REF!="Muy Alta",'Mapa final'!#REF!="Menor"),CONCATENATE("R10C",'Mapa final'!#REF!),"")</f>
        <v>#REF!</v>
      </c>
      <c r="T15" s="44" t="e">
        <f>IF(AND('Mapa final'!#REF!="Muy Alta",'Mapa final'!#REF!="Menor"),CONCATENATE("R10C",'Mapa final'!#REF!),"")</f>
        <v>#REF!</v>
      </c>
      <c r="U15" s="45" t="e">
        <f>IF(AND('Mapa final'!#REF!="Muy Alta",'Mapa final'!#REF!="Menor"),CONCATENATE("R10C",'Mapa final'!#REF!),"")</f>
        <v>#REF!</v>
      </c>
      <c r="V15" s="49" t="e">
        <f>IF(AND('Mapa final'!#REF!="Muy Alta",'Mapa final'!#REF!="Moderado"),CONCATENATE("R10C",'Mapa final'!#REF!),"")</f>
        <v>#REF!</v>
      </c>
      <c r="W15" s="50" t="str">
        <f>IF(AND('Mapa final'!$AA$46="Muy Alta",'Mapa final'!$AC$46="Moderado"),CONCATENATE("R10C",'Mapa final'!$Q$46),"")</f>
        <v/>
      </c>
      <c r="X15" s="50" t="e">
        <f>IF(AND('Mapa final'!#REF!="Muy Alta",'Mapa final'!#REF!="Moderado"),CONCATENATE("R10C",'Mapa final'!#REF!),"")</f>
        <v>#REF!</v>
      </c>
      <c r="Y15" s="50" t="e">
        <f>IF(AND('Mapa final'!#REF!="Muy Alta",'Mapa final'!#REF!="Moderado"),CONCATENATE("R10C",'Mapa final'!#REF!),"")</f>
        <v>#REF!</v>
      </c>
      <c r="Z15" s="50" t="e">
        <f>IF(AND('Mapa final'!#REF!="Muy Alta",'Mapa final'!#REF!="Moderado"),CONCATENATE("R10C",'Mapa final'!#REF!),"")</f>
        <v>#REF!</v>
      </c>
      <c r="AA15" s="51" t="e">
        <f>IF(AND('Mapa final'!#REF!="Muy Alta",'Mapa final'!#REF!="Moderado"),CONCATENATE("R10C",'Mapa final'!#REF!),"")</f>
        <v>#REF!</v>
      </c>
      <c r="AB15" s="43" t="e">
        <f>IF(AND('Mapa final'!#REF!="Muy Alta",'Mapa final'!#REF!="Mayor"),CONCATENATE("R10C",'Mapa final'!#REF!),"")</f>
        <v>#REF!</v>
      </c>
      <c r="AC15" s="44" t="str">
        <f>IF(AND('Mapa final'!$AA$46="Muy Alta",'Mapa final'!$AC$46="Mayor"),CONCATENATE("R10C",'Mapa final'!$Q$46),"")</f>
        <v/>
      </c>
      <c r="AD15" s="44" t="e">
        <f>IF(AND('Mapa final'!#REF!="Muy Alta",'Mapa final'!#REF!="Mayor"),CONCATENATE("R10C",'Mapa final'!#REF!),"")</f>
        <v>#REF!</v>
      </c>
      <c r="AE15" s="44" t="e">
        <f>IF(AND('Mapa final'!#REF!="Muy Alta",'Mapa final'!#REF!="Mayor"),CONCATENATE("R10C",'Mapa final'!#REF!),"")</f>
        <v>#REF!</v>
      </c>
      <c r="AF15" s="44" t="e">
        <f>IF(AND('Mapa final'!#REF!="Muy Alta",'Mapa final'!#REF!="Mayor"),CONCATENATE("R10C",'Mapa final'!#REF!),"")</f>
        <v>#REF!</v>
      </c>
      <c r="AG15" s="45" t="e">
        <f>IF(AND('Mapa final'!#REF!="Muy Alta",'Mapa final'!#REF!="Mayor"),CONCATENATE("R10C",'Mapa final'!#REF!),"")</f>
        <v>#REF!</v>
      </c>
      <c r="AH15" s="52" t="e">
        <f>IF(AND('Mapa final'!#REF!="Muy Alta",'Mapa final'!#REF!="Catastrófico"),CONCATENATE("R10C",'Mapa final'!#REF!),"")</f>
        <v>#REF!</v>
      </c>
      <c r="AI15" s="53" t="str">
        <f>IF(AND('Mapa final'!$AA$46="Muy Alta",'Mapa final'!$AC$46="Catastrófico"),CONCATENATE("R10C",'Mapa final'!$Q$46),"")</f>
        <v/>
      </c>
      <c r="AJ15" s="53" t="e">
        <f>IF(AND('Mapa final'!#REF!="Muy Alta",'Mapa final'!#REF!="Catastrófico"),CONCATENATE("R10C",'Mapa final'!#REF!),"")</f>
        <v>#REF!</v>
      </c>
      <c r="AK15" s="53" t="e">
        <f>IF(AND('Mapa final'!#REF!="Muy Alta",'Mapa final'!#REF!="Catastrófico"),CONCATENATE("R10C",'Mapa final'!#REF!),"")</f>
        <v>#REF!</v>
      </c>
      <c r="AL15" s="53" t="e">
        <f>IF(AND('Mapa final'!#REF!="Muy Alta",'Mapa final'!#REF!="Catastrófico"),CONCATENATE("R10C",'Mapa final'!#REF!),"")</f>
        <v>#REF!</v>
      </c>
      <c r="AM15" s="54" t="e">
        <f>IF(AND('Mapa final'!#REF!="Muy Alta",'Mapa final'!#REF!="Catastrófico"),CONCATENATE("R10C",'Mapa final'!#REF!),"")</f>
        <v>#REF!</v>
      </c>
      <c r="AN15" s="74"/>
      <c r="AO15" s="414"/>
      <c r="AP15" s="415"/>
      <c r="AQ15" s="415"/>
      <c r="AR15" s="415"/>
      <c r="AS15" s="415"/>
      <c r="AT15" s="416"/>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row>
    <row r="16" spans="1:91" ht="15" customHeight="1" x14ac:dyDescent="0.25">
      <c r="A16" s="74"/>
      <c r="B16" s="306"/>
      <c r="C16" s="306"/>
      <c r="D16" s="307"/>
      <c r="E16" s="401" t="s">
        <v>114</v>
      </c>
      <c r="F16" s="402"/>
      <c r="G16" s="402"/>
      <c r="H16" s="402"/>
      <c r="I16" s="402"/>
      <c r="J16" s="55" t="str">
        <f>IF(AND('Mapa final'!$AA$9="Alta",'Mapa final'!$AC$9="Leve"),CONCATENATE("R1C",'Mapa final'!$Q$9),"")</f>
        <v/>
      </c>
      <c r="K16" s="56" t="str">
        <f>IF(AND('Mapa final'!$AA$10="Alta",'Mapa final'!$AC$10="Leve"),CONCATENATE("R1C",'Mapa final'!$Q$10),"")</f>
        <v/>
      </c>
      <c r="L16" s="56" t="str">
        <f>IF(AND('Mapa final'!$AA$11="Alta",'Mapa final'!$AC$11="Leve"),CONCATENATE("R1C",'Mapa final'!$Q$11),"")</f>
        <v/>
      </c>
      <c r="M16" s="56" t="str">
        <f>IF(AND('Mapa final'!$AA$12="Alta",'Mapa final'!$AC$12="Leve"),CONCATENATE("R1C",'Mapa final'!$Q$12),"")</f>
        <v/>
      </c>
      <c r="N16" s="56" t="str">
        <f>IF(AND('Mapa final'!$AA$13="Alta",'Mapa final'!$AC$13="Leve"),CONCATENATE("R1C",'Mapa final'!$Q$13),"")</f>
        <v/>
      </c>
      <c r="O16" s="57" t="str">
        <f>IF(AND('Mapa final'!$AA$14="Alta",'Mapa final'!$AC$14="Leve"),CONCATENATE("R1C",'Mapa final'!$Q$14),"")</f>
        <v/>
      </c>
      <c r="P16" s="55" t="str">
        <f>IF(AND('Mapa final'!$AA$9="Alta",'Mapa final'!$AC$9="Menor"),CONCATENATE("R1C",'Mapa final'!$Q$9),"")</f>
        <v/>
      </c>
      <c r="Q16" s="56" t="str">
        <f>IF(AND('Mapa final'!$AA$10="Alta",'Mapa final'!$AC$10="Menor"),CONCATENATE("R1C",'Mapa final'!$Q$10),"")</f>
        <v/>
      </c>
      <c r="R16" s="56" t="str">
        <f>IF(AND('Mapa final'!$AA$11="Alta",'Mapa final'!$AC$11="Menor"),CONCATENATE("R1C",'Mapa final'!$Q$11),"")</f>
        <v/>
      </c>
      <c r="S16" s="56" t="str">
        <f>IF(AND('Mapa final'!$AA$12="Alta",'Mapa final'!$AC$12="Menor"),CONCATENATE("R1C",'Mapa final'!$Q$12),"")</f>
        <v/>
      </c>
      <c r="T16" s="56" t="str">
        <f>IF(AND('Mapa final'!$AA$13="Alta",'Mapa final'!$AC$13="Menor"),CONCATENATE("R1C",'Mapa final'!$Q$13),"")</f>
        <v/>
      </c>
      <c r="U16" s="57" t="str">
        <f>IF(AND('Mapa final'!$AA$14="Alta",'Mapa final'!$AC$14="Menor"),CONCATENATE("R1C",'Mapa final'!$Q$14),"")</f>
        <v/>
      </c>
      <c r="V16" s="37" t="str">
        <f>IF(AND('Mapa final'!$AA$9="Alta",'Mapa final'!$AC$9="Moderado"),CONCATENATE("R1C",'Mapa final'!$Q$9),"")</f>
        <v/>
      </c>
      <c r="W16" s="38" t="str">
        <f>IF(AND('Mapa final'!$AA$10="Alta",'Mapa final'!$AC$10="Moderado"),CONCATENATE("R1C",'Mapa final'!$Q$10),"")</f>
        <v/>
      </c>
      <c r="X16" s="38" t="str">
        <f>IF(AND('Mapa final'!$AA$11="Alta",'Mapa final'!$AC$11="Moderado"),CONCATENATE("R1C",'Mapa final'!$Q$11),"")</f>
        <v/>
      </c>
      <c r="Y16" s="38" t="str">
        <f>IF(AND('Mapa final'!$AA$12="Alta",'Mapa final'!$AC$12="Moderado"),CONCATENATE("R1C",'Mapa final'!$Q$12),"")</f>
        <v/>
      </c>
      <c r="Z16" s="38" t="str">
        <f>IF(AND('Mapa final'!$AA$13="Alta",'Mapa final'!$AC$13="Moderado"),CONCATENATE("R1C",'Mapa final'!$Q$13),"")</f>
        <v/>
      </c>
      <c r="AA16" s="39" t="str">
        <f>IF(AND('Mapa final'!$AA$14="Alta",'Mapa final'!$AC$14="Moderado"),CONCATENATE("R1C",'Mapa final'!$Q$14),"")</f>
        <v/>
      </c>
      <c r="AB16" s="37" t="str">
        <f>IF(AND('Mapa final'!$AA$9="Alta",'Mapa final'!$AC$9="Mayor"),CONCATENATE("R1C",'Mapa final'!$Q$9),"")</f>
        <v/>
      </c>
      <c r="AC16" s="38" t="str">
        <f>IF(AND('Mapa final'!$AA$10="Alta",'Mapa final'!$AC$10="Mayor"),CONCATENATE("R1C",'Mapa final'!$Q$10),"")</f>
        <v/>
      </c>
      <c r="AD16" s="38" t="str">
        <f>IF(AND('Mapa final'!$AA$11="Alta",'Mapa final'!$AC$11="Mayor"),CONCATENATE("R1C",'Mapa final'!$Q$11),"")</f>
        <v/>
      </c>
      <c r="AE16" s="38" t="str">
        <f>IF(AND('Mapa final'!$AA$12="Alta",'Mapa final'!$AC$12="Mayor"),CONCATENATE("R1C",'Mapa final'!$Q$12),"")</f>
        <v/>
      </c>
      <c r="AF16" s="38" t="str">
        <f>IF(AND('Mapa final'!$AA$13="Alta",'Mapa final'!$AC$13="Mayor"),CONCATENATE("R1C",'Mapa final'!$Q$13),"")</f>
        <v/>
      </c>
      <c r="AG16" s="39" t="str">
        <f>IF(AND('Mapa final'!$AA$14="Alta",'Mapa final'!$AC$14="Mayor"),CONCATENATE("R1C",'Mapa final'!$Q$14),"")</f>
        <v/>
      </c>
      <c r="AH16" s="40" t="str">
        <f>IF(AND('Mapa final'!$AA$9="Alta",'Mapa final'!$AC$9="Catastrófico"),CONCATENATE("R1C",'Mapa final'!$Q$9),"")</f>
        <v/>
      </c>
      <c r="AI16" s="41" t="str">
        <f>IF(AND('Mapa final'!$AA$10="Alta",'Mapa final'!$AC$10="Catastrófico"),CONCATENATE("R1C",'Mapa final'!$Q$10),"")</f>
        <v/>
      </c>
      <c r="AJ16" s="41" t="str">
        <f>IF(AND('Mapa final'!$AA$11="Alta",'Mapa final'!$AC$11="Catastrófico"),CONCATENATE("R1C",'Mapa final'!$Q$11),"")</f>
        <v/>
      </c>
      <c r="AK16" s="41" t="str">
        <f>IF(AND('Mapa final'!$AA$12="Alta",'Mapa final'!$AC$12="Catastrófico"),CONCATENATE("R1C",'Mapa final'!$Q$12),"")</f>
        <v/>
      </c>
      <c r="AL16" s="41" t="str">
        <f>IF(AND('Mapa final'!$AA$13="Alta",'Mapa final'!$AC$13="Catastrófico"),CONCATENATE("R1C",'Mapa final'!$Q$13),"")</f>
        <v/>
      </c>
      <c r="AM16" s="42" t="str">
        <f>IF(AND('Mapa final'!$AA$14="Alta",'Mapa final'!$AC$14="Catastrófico"),CONCATENATE("R1C",'Mapa final'!$Q$14),"")</f>
        <v/>
      </c>
      <c r="AN16" s="74"/>
      <c r="AO16" s="392" t="s">
        <v>79</v>
      </c>
      <c r="AP16" s="393"/>
      <c r="AQ16" s="393"/>
      <c r="AR16" s="393"/>
      <c r="AS16" s="393"/>
      <c r="AT16" s="39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row>
    <row r="17" spans="1:76" ht="15" customHeight="1" x14ac:dyDescent="0.25">
      <c r="A17" s="74"/>
      <c r="B17" s="306"/>
      <c r="C17" s="306"/>
      <c r="D17" s="307"/>
      <c r="E17" s="403"/>
      <c r="F17" s="404"/>
      <c r="G17" s="404"/>
      <c r="H17" s="404"/>
      <c r="I17" s="404"/>
      <c r="J17" s="58" t="str">
        <f>IF(AND('Mapa final'!$AA$15="Alta",'Mapa final'!$AC$15="Leve"),CONCATENATE("R2C",'Mapa final'!$Q$15),"")</f>
        <v/>
      </c>
      <c r="K17" s="59" t="str">
        <f>IF(AND('Mapa final'!$AA$16="Alta",'Mapa final'!$AC$16="Leve"),CONCATENATE("R2C",'Mapa final'!$Q$16),"")</f>
        <v/>
      </c>
      <c r="L17" s="59" t="str">
        <f>IF(AND('Mapa final'!$AA$17="Alta",'Mapa final'!$AC$17="Leve"),CONCATENATE("R2C",'Mapa final'!$Q$17),"")</f>
        <v/>
      </c>
      <c r="M17" s="59" t="e">
        <f>IF(AND('Mapa final'!#REF!="Alta",'Mapa final'!#REF!="Leve"),CONCATENATE("R2C",'Mapa final'!#REF!),"")</f>
        <v>#REF!</v>
      </c>
      <c r="N17" s="59" t="str">
        <f>IF(AND('Mapa final'!$AA$18="Alta",'Mapa final'!$AC$18="Leve"),CONCATENATE("R2C",'Mapa final'!$Q$18),"")</f>
        <v/>
      </c>
      <c r="O17" s="60" t="e">
        <f>IF(AND('Mapa final'!#REF!="Alta",'Mapa final'!#REF!="Leve"),CONCATENATE("R2C",'Mapa final'!#REF!),"")</f>
        <v>#REF!</v>
      </c>
      <c r="P17" s="58" t="str">
        <f>IF(AND('Mapa final'!$AA$15="Alta",'Mapa final'!$AC$15="Menor"),CONCATENATE("R2C",'Mapa final'!$Q$15),"")</f>
        <v/>
      </c>
      <c r="Q17" s="59" t="str">
        <f>IF(AND('Mapa final'!$AA$16="Alta",'Mapa final'!$AC$16="Menor"),CONCATENATE("R2C",'Mapa final'!$Q$16),"")</f>
        <v/>
      </c>
      <c r="R17" s="59" t="str">
        <f>IF(AND('Mapa final'!$AA$17="Alta",'Mapa final'!$AC$17="Menor"),CONCATENATE("R2C",'Mapa final'!$Q$17),"")</f>
        <v/>
      </c>
      <c r="S17" s="59" t="e">
        <f>IF(AND('Mapa final'!#REF!="Alta",'Mapa final'!#REF!="Menor"),CONCATENATE("R2C",'Mapa final'!#REF!),"")</f>
        <v>#REF!</v>
      </c>
      <c r="T17" s="59" t="str">
        <f>IF(AND('Mapa final'!$AA$18="Alta",'Mapa final'!$AC$18="Menor"),CONCATENATE("R2C",'Mapa final'!$Q$18),"")</f>
        <v/>
      </c>
      <c r="U17" s="60" t="e">
        <f>IF(AND('Mapa final'!#REF!="Alta",'Mapa final'!#REF!="Menor"),CONCATENATE("R2C",'Mapa final'!#REF!),"")</f>
        <v>#REF!</v>
      </c>
      <c r="V17" s="43" t="str">
        <f>IF(AND('Mapa final'!$AA$15="Alta",'Mapa final'!$AC$15="Moderado"),CONCATENATE("R2C",'Mapa final'!$Q$15),"")</f>
        <v/>
      </c>
      <c r="W17" s="44" t="str">
        <f>IF(AND('Mapa final'!$AA$16="Alta",'Mapa final'!$AC$16="Moderado"),CONCATENATE("R2C",'Mapa final'!$Q$16),"")</f>
        <v/>
      </c>
      <c r="X17" s="44" t="str">
        <f>IF(AND('Mapa final'!$AA$17="Alta",'Mapa final'!$AC$17="Moderado"),CONCATENATE("R2C",'Mapa final'!$Q$17),"")</f>
        <v/>
      </c>
      <c r="Y17" s="44" t="e">
        <f>IF(AND('Mapa final'!#REF!="Alta",'Mapa final'!#REF!="Moderado"),CONCATENATE("R2C",'Mapa final'!#REF!),"")</f>
        <v>#REF!</v>
      </c>
      <c r="Z17" s="44" t="str">
        <f>IF(AND('Mapa final'!$AA$18="Alta",'Mapa final'!$AC$18="Moderado"),CONCATENATE("R2C",'Mapa final'!$Q$18),"")</f>
        <v/>
      </c>
      <c r="AA17" s="45" t="e">
        <f>IF(AND('Mapa final'!#REF!="Alta",'Mapa final'!#REF!="Moderado"),CONCATENATE("R2C",'Mapa final'!#REF!),"")</f>
        <v>#REF!</v>
      </c>
      <c r="AB17" s="43" t="str">
        <f>IF(AND('Mapa final'!$AA$15="Alta",'Mapa final'!$AC$15="Mayor"),CONCATENATE("R2C",'Mapa final'!$Q$15),"")</f>
        <v/>
      </c>
      <c r="AC17" s="44" t="str">
        <f>IF(AND('Mapa final'!$AA$16="Alta",'Mapa final'!$AC$16="Mayor"),CONCATENATE("R2C",'Mapa final'!$Q$16),"")</f>
        <v/>
      </c>
      <c r="AD17" s="44" t="str">
        <f>IF(AND('Mapa final'!$AA$17="Alta",'Mapa final'!$AC$17="Mayor"),CONCATENATE("R2C",'Mapa final'!$Q$17),"")</f>
        <v/>
      </c>
      <c r="AE17" s="44" t="e">
        <f>IF(AND('Mapa final'!#REF!="Alta",'Mapa final'!#REF!="Mayor"),CONCATENATE("R2C",'Mapa final'!#REF!),"")</f>
        <v>#REF!</v>
      </c>
      <c r="AF17" s="44" t="str">
        <f>IF(AND('Mapa final'!$AA$18="Alta",'Mapa final'!$AC$18="Mayor"),CONCATENATE("R2C",'Mapa final'!$Q$18),"")</f>
        <v/>
      </c>
      <c r="AG17" s="45" t="e">
        <f>IF(AND('Mapa final'!#REF!="Alta",'Mapa final'!#REF!="Mayor"),CONCATENATE("R2C",'Mapa final'!#REF!),"")</f>
        <v>#REF!</v>
      </c>
      <c r="AH17" s="46" t="str">
        <f>IF(AND('Mapa final'!$AA$15="Alta",'Mapa final'!$AC$15="Catastrófico"),CONCATENATE("R2C",'Mapa final'!$Q$15),"")</f>
        <v/>
      </c>
      <c r="AI17" s="47" t="str">
        <f>IF(AND('Mapa final'!$AA$16="Alta",'Mapa final'!$AC$16="Catastrófico"),CONCATENATE("R2C",'Mapa final'!$Q$16),"")</f>
        <v/>
      </c>
      <c r="AJ17" s="47" t="str">
        <f>IF(AND('Mapa final'!$AA$17="Alta",'Mapa final'!$AC$17="Catastrófico"),CONCATENATE("R2C",'Mapa final'!$Q$17),"")</f>
        <v/>
      </c>
      <c r="AK17" s="47" t="e">
        <f>IF(AND('Mapa final'!#REF!="Alta",'Mapa final'!#REF!="Catastrófico"),CONCATENATE("R2C",'Mapa final'!#REF!),"")</f>
        <v>#REF!</v>
      </c>
      <c r="AL17" s="47" t="str">
        <f>IF(AND('Mapa final'!$AA$18="Alta",'Mapa final'!$AC$18="Catastrófico"),CONCATENATE("R2C",'Mapa final'!$Q$18),"")</f>
        <v/>
      </c>
      <c r="AM17" s="48" t="e">
        <f>IF(AND('Mapa final'!#REF!="Alta",'Mapa final'!#REF!="Catastrófico"),CONCATENATE("R2C",'Mapa final'!#REF!),"")</f>
        <v>#REF!</v>
      </c>
      <c r="AN17" s="74"/>
      <c r="AO17" s="395"/>
      <c r="AP17" s="396"/>
      <c r="AQ17" s="396"/>
      <c r="AR17" s="396"/>
      <c r="AS17" s="396"/>
      <c r="AT17" s="397"/>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row>
    <row r="18" spans="1:76" ht="15" customHeight="1" x14ac:dyDescent="0.25">
      <c r="A18" s="74"/>
      <c r="B18" s="306"/>
      <c r="C18" s="306"/>
      <c r="D18" s="307"/>
      <c r="E18" s="405"/>
      <c r="F18" s="404"/>
      <c r="G18" s="404"/>
      <c r="H18" s="404"/>
      <c r="I18" s="404"/>
      <c r="J18" s="58" t="e">
        <f>IF(AND('Mapa final'!#REF!="Alta",'Mapa final'!#REF!="Leve"),CONCATENATE("R3C",'Mapa final'!#REF!),"")</f>
        <v>#REF!</v>
      </c>
      <c r="K18" s="59" t="e">
        <f>IF(AND('Mapa final'!#REF!="Alta",'Mapa final'!#REF!="Leve"),CONCATENATE("R3C",'Mapa final'!#REF!),"")</f>
        <v>#REF!</v>
      </c>
      <c r="L18" s="59" t="e">
        <f>IF(AND('Mapa final'!#REF!="Alta",'Mapa final'!#REF!="Leve"),CONCATENATE("R3C",'Mapa final'!#REF!),"")</f>
        <v>#REF!</v>
      </c>
      <c r="M18" s="59" t="e">
        <f>IF(AND('Mapa final'!#REF!="Alta",'Mapa final'!#REF!="Leve"),CONCATENATE("R3C",'Mapa final'!#REF!),"")</f>
        <v>#REF!</v>
      </c>
      <c r="N18" s="59" t="str">
        <f>IF(AND('Mapa final'!$AA$19="Alta",'Mapa final'!$AC$19="Leve"),CONCATENATE("R3C",'Mapa final'!$Q$19),"")</f>
        <v/>
      </c>
      <c r="O18" s="60" t="str">
        <f>IF(AND('Mapa final'!$AA$20="Alta",'Mapa final'!$AC$20="Leve"),CONCATENATE("R3C",'Mapa final'!$Q$20),"")</f>
        <v/>
      </c>
      <c r="P18" s="58" t="e">
        <f>IF(AND('Mapa final'!#REF!="Alta",'Mapa final'!#REF!="Menor"),CONCATENATE("R3C",'Mapa final'!#REF!),"")</f>
        <v>#REF!</v>
      </c>
      <c r="Q18" s="59" t="e">
        <f>IF(AND('Mapa final'!#REF!="Alta",'Mapa final'!#REF!="Menor"),CONCATENATE("R3C",'Mapa final'!#REF!),"")</f>
        <v>#REF!</v>
      </c>
      <c r="R18" s="59" t="e">
        <f>IF(AND('Mapa final'!#REF!="Alta",'Mapa final'!#REF!="Menor"),CONCATENATE("R3C",'Mapa final'!#REF!),"")</f>
        <v>#REF!</v>
      </c>
      <c r="S18" s="59" t="e">
        <f>IF(AND('Mapa final'!#REF!="Alta",'Mapa final'!#REF!="Menor"),CONCATENATE("R3C",'Mapa final'!#REF!),"")</f>
        <v>#REF!</v>
      </c>
      <c r="T18" s="59" t="str">
        <f>IF(AND('Mapa final'!$AA$19="Alta",'Mapa final'!$AC$19="Menor"),CONCATENATE("R3C",'Mapa final'!$Q$19),"")</f>
        <v/>
      </c>
      <c r="U18" s="60" t="str">
        <f>IF(AND('Mapa final'!$AA$20="Alta",'Mapa final'!$AC$20="Menor"),CONCATENATE("R3C",'Mapa final'!$Q$20),"")</f>
        <v/>
      </c>
      <c r="V18" s="43" t="e">
        <f>IF(AND('Mapa final'!#REF!="Alta",'Mapa final'!#REF!="Moderado"),CONCATENATE("R3C",'Mapa final'!#REF!),"")</f>
        <v>#REF!</v>
      </c>
      <c r="W18" s="44" t="e">
        <f>IF(AND('Mapa final'!#REF!="Alta",'Mapa final'!#REF!="Moderado"),CONCATENATE("R3C",'Mapa final'!#REF!),"")</f>
        <v>#REF!</v>
      </c>
      <c r="X18" s="44" t="e">
        <f>IF(AND('Mapa final'!#REF!="Alta",'Mapa final'!#REF!="Moderado"),CONCATENATE("R3C",'Mapa final'!#REF!),"")</f>
        <v>#REF!</v>
      </c>
      <c r="Y18" s="44" t="e">
        <f>IF(AND('Mapa final'!#REF!="Alta",'Mapa final'!#REF!="Moderado"),CONCATENATE("R3C",'Mapa final'!#REF!),"")</f>
        <v>#REF!</v>
      </c>
      <c r="Z18" s="44" t="str">
        <f>IF(AND('Mapa final'!$AA$19="Alta",'Mapa final'!$AC$19="Moderado"),CONCATENATE("R3C",'Mapa final'!$Q$19),"")</f>
        <v/>
      </c>
      <c r="AA18" s="45" t="str">
        <f>IF(AND('Mapa final'!$AA$20="Alta",'Mapa final'!$AC$20="Moderado"),CONCATENATE("R3C",'Mapa final'!$Q$20),"")</f>
        <v/>
      </c>
      <c r="AB18" s="43" t="e">
        <f>IF(AND('Mapa final'!#REF!="Alta",'Mapa final'!#REF!="Mayor"),CONCATENATE("R3C",'Mapa final'!#REF!),"")</f>
        <v>#REF!</v>
      </c>
      <c r="AC18" s="44" t="e">
        <f>IF(AND('Mapa final'!#REF!="Alta",'Mapa final'!#REF!="Mayor"),CONCATENATE("R3C",'Mapa final'!#REF!),"")</f>
        <v>#REF!</v>
      </c>
      <c r="AD18" s="44" t="e">
        <f>IF(AND('Mapa final'!#REF!="Alta",'Mapa final'!#REF!="Mayor"),CONCATENATE("R3C",'Mapa final'!#REF!),"")</f>
        <v>#REF!</v>
      </c>
      <c r="AE18" s="44" t="e">
        <f>IF(AND('Mapa final'!#REF!="Alta",'Mapa final'!#REF!="Mayor"),CONCATENATE("R3C",'Mapa final'!#REF!),"")</f>
        <v>#REF!</v>
      </c>
      <c r="AF18" s="44" t="str">
        <f>IF(AND('Mapa final'!$AA$19="Alta",'Mapa final'!$AC$19="Mayor"),CONCATENATE("R3C",'Mapa final'!$Q$19),"")</f>
        <v/>
      </c>
      <c r="AG18" s="45" t="str">
        <f>IF(AND('Mapa final'!$AA$20="Alta",'Mapa final'!$AC$20="Mayor"),CONCATENATE("R3C",'Mapa final'!$Q$20),"")</f>
        <v/>
      </c>
      <c r="AH18" s="46" t="e">
        <f>IF(AND('Mapa final'!#REF!="Alta",'Mapa final'!#REF!="Catastrófico"),CONCATENATE("R3C",'Mapa final'!#REF!),"")</f>
        <v>#REF!</v>
      </c>
      <c r="AI18" s="47" t="e">
        <f>IF(AND('Mapa final'!#REF!="Alta",'Mapa final'!#REF!="Catastrófico"),CONCATENATE("R3C",'Mapa final'!#REF!),"")</f>
        <v>#REF!</v>
      </c>
      <c r="AJ18" s="47" t="e">
        <f>IF(AND('Mapa final'!#REF!="Alta",'Mapa final'!#REF!="Catastrófico"),CONCATENATE("R3C",'Mapa final'!#REF!),"")</f>
        <v>#REF!</v>
      </c>
      <c r="AK18" s="47" t="e">
        <f>IF(AND('Mapa final'!#REF!="Alta",'Mapa final'!#REF!="Catastrófico"),CONCATENATE("R3C",'Mapa final'!#REF!),"")</f>
        <v>#REF!</v>
      </c>
      <c r="AL18" s="47" t="str">
        <f>IF(AND('Mapa final'!$AA$19="Alta",'Mapa final'!$AC$19="Catastrófico"),CONCATENATE("R3C",'Mapa final'!$Q$19),"")</f>
        <v/>
      </c>
      <c r="AM18" s="48" t="str">
        <f>IF(AND('Mapa final'!$AA$20="Alta",'Mapa final'!$AC$20="Catastrófico"),CONCATENATE("R3C",'Mapa final'!$Q$20),"")</f>
        <v/>
      </c>
      <c r="AN18" s="74"/>
      <c r="AO18" s="395"/>
      <c r="AP18" s="396"/>
      <c r="AQ18" s="396"/>
      <c r="AR18" s="396"/>
      <c r="AS18" s="396"/>
      <c r="AT18" s="397"/>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row>
    <row r="19" spans="1:76" ht="15" customHeight="1" x14ac:dyDescent="0.25">
      <c r="A19" s="74"/>
      <c r="B19" s="306"/>
      <c r="C19" s="306"/>
      <c r="D19" s="307"/>
      <c r="E19" s="405"/>
      <c r="F19" s="404"/>
      <c r="G19" s="404"/>
      <c r="H19" s="404"/>
      <c r="I19" s="404"/>
      <c r="J19" s="58" t="e">
        <f>IF(AND('Mapa final'!#REF!="Alta",'Mapa final'!#REF!="Leve"),CONCATENATE("R4C",'Mapa final'!#REF!),"")</f>
        <v>#REF!</v>
      </c>
      <c r="K19" s="59" t="e">
        <f>IF(AND('Mapa final'!#REF!="Alta",'Mapa final'!#REF!="Leve"),CONCATENATE("R4C",'Mapa final'!#REF!),"")</f>
        <v>#REF!</v>
      </c>
      <c r="L19" s="59" t="str">
        <f>IF(AND('Mapa final'!$AA$23="Alta",'Mapa final'!$AC$23="Leve"),CONCATENATE("R4C",'Mapa final'!$Q$23),"")</f>
        <v/>
      </c>
      <c r="M19" s="59" t="str">
        <f>IF(AND('Mapa final'!$AA$24="Alta",'Mapa final'!$AC$24="Leve"),CONCATENATE("R4C",'Mapa final'!$Q$24),"")</f>
        <v/>
      </c>
      <c r="N19" s="59" t="e">
        <f>IF(AND('Mapa final'!#REF!="Alta",'Mapa final'!#REF!="Leve"),CONCATENATE("R4C",'Mapa final'!#REF!),"")</f>
        <v>#REF!</v>
      </c>
      <c r="O19" s="60" t="str">
        <f>IF(AND('Mapa final'!$AA$25="Alta",'Mapa final'!$AC$25="Leve"),CONCATENATE("R4C",'Mapa final'!$Q$25),"")</f>
        <v/>
      </c>
      <c r="P19" s="58" t="e">
        <f>IF(AND('Mapa final'!#REF!="Alta",'Mapa final'!#REF!="Menor"),CONCATENATE("R4C",'Mapa final'!#REF!),"")</f>
        <v>#REF!</v>
      </c>
      <c r="Q19" s="59" t="e">
        <f>IF(AND('Mapa final'!#REF!="Alta",'Mapa final'!#REF!="Menor"),CONCATENATE("R4C",'Mapa final'!#REF!),"")</f>
        <v>#REF!</v>
      </c>
      <c r="R19" s="59" t="str">
        <f>IF(AND('Mapa final'!$AA$23="Alta",'Mapa final'!$AC$23="Menor"),CONCATENATE("R4C",'Mapa final'!$Q$23),"")</f>
        <v/>
      </c>
      <c r="S19" s="59" t="str">
        <f>IF(AND('Mapa final'!$AA$24="Alta",'Mapa final'!$AC$24="Menor"),CONCATENATE("R4C",'Mapa final'!$Q$24),"")</f>
        <v/>
      </c>
      <c r="T19" s="59" t="e">
        <f>IF(AND('Mapa final'!#REF!="Alta",'Mapa final'!#REF!="Menor"),CONCATENATE("R4C",'Mapa final'!#REF!),"")</f>
        <v>#REF!</v>
      </c>
      <c r="U19" s="60" t="str">
        <f>IF(AND('Mapa final'!$AA$25="Alta",'Mapa final'!$AC$25="Menor"),CONCATENATE("R4C",'Mapa final'!$Q$25),"")</f>
        <v/>
      </c>
      <c r="V19" s="43" t="e">
        <f>IF(AND('Mapa final'!#REF!="Alta",'Mapa final'!#REF!="Moderado"),CONCATENATE("R4C",'Mapa final'!#REF!),"")</f>
        <v>#REF!</v>
      </c>
      <c r="W19" s="44" t="e">
        <f>IF(AND('Mapa final'!#REF!="Alta",'Mapa final'!#REF!="Moderado"),CONCATENATE("R4C",'Mapa final'!#REF!),"")</f>
        <v>#REF!</v>
      </c>
      <c r="X19" s="44" t="str">
        <f>IF(AND('Mapa final'!$AA$23="Alta",'Mapa final'!$AC$23="Moderado"),CONCATENATE("R4C",'Mapa final'!$Q$23),"")</f>
        <v/>
      </c>
      <c r="Y19" s="44" t="str">
        <f>IF(AND('Mapa final'!$AA$24="Alta",'Mapa final'!$AC$24="Moderado"),CONCATENATE("R4C",'Mapa final'!$Q$24),"")</f>
        <v/>
      </c>
      <c r="Z19" s="44" t="e">
        <f>IF(AND('Mapa final'!#REF!="Alta",'Mapa final'!#REF!="Moderado"),CONCATENATE("R4C",'Mapa final'!#REF!),"")</f>
        <v>#REF!</v>
      </c>
      <c r="AA19" s="45" t="str">
        <f>IF(AND('Mapa final'!$AA$25="Alta",'Mapa final'!$AC$25="Moderado"),CONCATENATE("R4C",'Mapa final'!$Q$25),"")</f>
        <v/>
      </c>
      <c r="AB19" s="43" t="e">
        <f>IF(AND('Mapa final'!#REF!="Alta",'Mapa final'!#REF!="Mayor"),CONCATENATE("R4C",'Mapa final'!#REF!),"")</f>
        <v>#REF!</v>
      </c>
      <c r="AC19" s="44" t="e">
        <f>IF(AND('Mapa final'!#REF!="Alta",'Mapa final'!#REF!="Mayor"),CONCATENATE("R4C",'Mapa final'!#REF!),"")</f>
        <v>#REF!</v>
      </c>
      <c r="AD19" s="44" t="str">
        <f>IF(AND('Mapa final'!$AA$23="Alta",'Mapa final'!$AC$23="Mayor"),CONCATENATE("R4C",'Mapa final'!$Q$23),"")</f>
        <v/>
      </c>
      <c r="AE19" s="44" t="str">
        <f>IF(AND('Mapa final'!$AA$24="Alta",'Mapa final'!$AC$24="Mayor"),CONCATENATE("R4C",'Mapa final'!$Q$24),"")</f>
        <v/>
      </c>
      <c r="AF19" s="44" t="e">
        <f>IF(AND('Mapa final'!#REF!="Alta",'Mapa final'!#REF!="Mayor"),CONCATENATE("R4C",'Mapa final'!#REF!),"")</f>
        <v>#REF!</v>
      </c>
      <c r="AG19" s="45" t="str">
        <f>IF(AND('Mapa final'!$AA$25="Alta",'Mapa final'!$AC$25="Mayor"),CONCATENATE("R4C",'Mapa final'!$Q$25),"")</f>
        <v/>
      </c>
      <c r="AH19" s="46" t="e">
        <f>IF(AND('Mapa final'!#REF!="Alta",'Mapa final'!#REF!="Catastrófico"),CONCATENATE("R4C",'Mapa final'!#REF!),"")</f>
        <v>#REF!</v>
      </c>
      <c r="AI19" s="47" t="e">
        <f>IF(AND('Mapa final'!#REF!="Alta",'Mapa final'!#REF!="Catastrófico"),CONCATENATE("R4C",'Mapa final'!#REF!),"")</f>
        <v>#REF!</v>
      </c>
      <c r="AJ19" s="47" t="str">
        <f>IF(AND('Mapa final'!$AA$23="Alta",'Mapa final'!$AC$23="Catastrófico"),CONCATENATE("R4C",'Mapa final'!$Q$23),"")</f>
        <v>R4C1</v>
      </c>
      <c r="AK19" s="47" t="str">
        <f>IF(AND('Mapa final'!$AA$24="Alta",'Mapa final'!$AC$24="Catastrófico"),CONCATENATE("R4C",'Mapa final'!$Q$24),"")</f>
        <v/>
      </c>
      <c r="AL19" s="47" t="e">
        <f>IF(AND('Mapa final'!#REF!="Alta",'Mapa final'!#REF!="Catastrófico"),CONCATENATE("R4C",'Mapa final'!#REF!),"")</f>
        <v>#REF!</v>
      </c>
      <c r="AM19" s="48" t="str">
        <f>IF(AND('Mapa final'!$AA$25="Alta",'Mapa final'!$AC$25="Catastrófico"),CONCATENATE("R4C",'Mapa final'!$Q$25),"")</f>
        <v/>
      </c>
      <c r="AN19" s="74"/>
      <c r="AO19" s="395"/>
      <c r="AP19" s="396"/>
      <c r="AQ19" s="396"/>
      <c r="AR19" s="396"/>
      <c r="AS19" s="396"/>
      <c r="AT19" s="397"/>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row>
    <row r="20" spans="1:76" ht="15" customHeight="1" x14ac:dyDescent="0.25">
      <c r="A20" s="74"/>
      <c r="B20" s="306"/>
      <c r="C20" s="306"/>
      <c r="D20" s="307"/>
      <c r="E20" s="405"/>
      <c r="F20" s="404"/>
      <c r="G20" s="404"/>
      <c r="H20" s="404"/>
      <c r="I20" s="404"/>
      <c r="J20" s="58" t="e">
        <f>IF(AND('Mapa final'!#REF!="Alta",'Mapa final'!#REF!="Leve"),CONCATENATE("R5C",'Mapa final'!#REF!),"")</f>
        <v>#REF!</v>
      </c>
      <c r="K20" s="59" t="str">
        <f>IF(AND('Mapa final'!$AA$26="Alta",'Mapa final'!$AC$26="Leve"),CONCATENATE("R5C",'Mapa final'!$Q$26),"")</f>
        <v/>
      </c>
      <c r="L20" s="59" t="str">
        <f>IF(AND('Mapa final'!$AA$27="Alta",'Mapa final'!$AC$27="Leve"),CONCATENATE("R5C",'Mapa final'!$Q$27),"")</f>
        <v/>
      </c>
      <c r="M20" s="59" t="str">
        <f>IF(AND('Mapa final'!$AA$28="Alta",'Mapa final'!$AC$28="Leve"),CONCATENATE("R5C",'Mapa final'!$Q$28),"")</f>
        <v/>
      </c>
      <c r="N20" s="59" t="str">
        <f>IF(AND('Mapa final'!$AA$29="Alta",'Mapa final'!$AC$29="Leve"),CONCATENATE("R5C",'Mapa final'!$Q$29),"")</f>
        <v/>
      </c>
      <c r="O20" s="60" t="str">
        <f>IF(AND('Mapa final'!$AA$30="Alta",'Mapa final'!$AC$30="Leve"),CONCATENATE("R5C",'Mapa final'!$Q$30),"")</f>
        <v/>
      </c>
      <c r="P20" s="58" t="e">
        <f>IF(AND('Mapa final'!#REF!="Alta",'Mapa final'!#REF!="Menor"),CONCATENATE("R5C",'Mapa final'!#REF!),"")</f>
        <v>#REF!</v>
      </c>
      <c r="Q20" s="59" t="str">
        <f>IF(AND('Mapa final'!$AA$26="Alta",'Mapa final'!$AC$26="Menor"),CONCATENATE("R5C",'Mapa final'!$Q$26),"")</f>
        <v/>
      </c>
      <c r="R20" s="59" t="str">
        <f>IF(AND('Mapa final'!$AA$27="Alta",'Mapa final'!$AC$27="Menor"),CONCATENATE("R5C",'Mapa final'!$Q$27),"")</f>
        <v/>
      </c>
      <c r="S20" s="59" t="str">
        <f>IF(AND('Mapa final'!$AA$28="Alta",'Mapa final'!$AC$28="Menor"),CONCATENATE("R5C",'Mapa final'!$Q$28),"")</f>
        <v/>
      </c>
      <c r="T20" s="59" t="str">
        <f>IF(AND('Mapa final'!$AA$29="Alta",'Mapa final'!$AC$29="Menor"),CONCATENATE("R5C",'Mapa final'!$Q$29),"")</f>
        <v/>
      </c>
      <c r="U20" s="60" t="str">
        <f>IF(AND('Mapa final'!$AA$30="Alta",'Mapa final'!$AC$30="Menor"),CONCATENATE("R5C",'Mapa final'!$Q$30),"")</f>
        <v/>
      </c>
      <c r="V20" s="43" t="e">
        <f>IF(AND('Mapa final'!#REF!="Alta",'Mapa final'!#REF!="Moderado"),CONCATENATE("R5C",'Mapa final'!#REF!),"")</f>
        <v>#REF!</v>
      </c>
      <c r="W20" s="44" t="str">
        <f>IF(AND('Mapa final'!$AA$26="Alta",'Mapa final'!$AC$26="Moderado"),CONCATENATE("R5C",'Mapa final'!$Q$26),"")</f>
        <v/>
      </c>
      <c r="X20" s="44" t="str">
        <f>IF(AND('Mapa final'!$AA$27="Alta",'Mapa final'!$AC$27="Moderado"),CONCATENATE("R5C",'Mapa final'!$Q$27),"")</f>
        <v/>
      </c>
      <c r="Y20" s="44" t="str">
        <f>IF(AND('Mapa final'!$AA$28="Alta",'Mapa final'!$AC$28="Moderado"),CONCATENATE("R5C",'Mapa final'!$Q$28),"")</f>
        <v/>
      </c>
      <c r="Z20" s="44" t="str">
        <f>IF(AND('Mapa final'!$AA$29="Alta",'Mapa final'!$AC$29="Moderado"),CONCATENATE("R5C",'Mapa final'!$Q$29),"")</f>
        <v/>
      </c>
      <c r="AA20" s="45" t="str">
        <f>IF(AND('Mapa final'!$AA$30="Alta",'Mapa final'!$AC$30="Moderado"),CONCATENATE("R5C",'Mapa final'!$Q$30),"")</f>
        <v/>
      </c>
      <c r="AB20" s="43" t="e">
        <f>IF(AND('Mapa final'!#REF!="Alta",'Mapa final'!#REF!="Mayor"),CONCATENATE("R5C",'Mapa final'!#REF!),"")</f>
        <v>#REF!</v>
      </c>
      <c r="AC20" s="44" t="str">
        <f>IF(AND('Mapa final'!$AA$26="Alta",'Mapa final'!$AC$26="Mayor"),CONCATENATE("R5C",'Mapa final'!$Q$26),"")</f>
        <v/>
      </c>
      <c r="AD20" s="44" t="str">
        <f>IF(AND('Mapa final'!$AA$27="Alta",'Mapa final'!$AC$27="Mayor"),CONCATENATE("R5C",'Mapa final'!$Q$27),"")</f>
        <v/>
      </c>
      <c r="AE20" s="44" t="str">
        <f>IF(AND('Mapa final'!$AA$28="Alta",'Mapa final'!$AC$28="Mayor"),CONCATENATE("R5C",'Mapa final'!$Q$28),"")</f>
        <v/>
      </c>
      <c r="AF20" s="44" t="str">
        <f>IF(AND('Mapa final'!$AA$29="Alta",'Mapa final'!$AC$29="Mayor"),CONCATENATE("R5C",'Mapa final'!$Q$29),"")</f>
        <v/>
      </c>
      <c r="AG20" s="45" t="str">
        <f>IF(AND('Mapa final'!$AA$30="Alta",'Mapa final'!$AC$30="Mayor"),CONCATENATE("R5C",'Mapa final'!$Q$30),"")</f>
        <v/>
      </c>
      <c r="AH20" s="46" t="e">
        <f>IF(AND('Mapa final'!#REF!="Alta",'Mapa final'!#REF!="Catastrófico"),CONCATENATE("R5C",'Mapa final'!#REF!),"")</f>
        <v>#REF!</v>
      </c>
      <c r="AI20" s="47" t="str">
        <f>IF(AND('Mapa final'!$AA$26="Alta",'Mapa final'!$AC$26="Catastrófico"),CONCATENATE("R5C",'Mapa final'!$Q$26),"")</f>
        <v/>
      </c>
      <c r="AJ20" s="47" t="str">
        <f>IF(AND('Mapa final'!$AA$27="Alta",'Mapa final'!$AC$27="Catastrófico"),CONCATENATE("R5C",'Mapa final'!$Q$27),"")</f>
        <v/>
      </c>
      <c r="AK20" s="47" t="str">
        <f>IF(AND('Mapa final'!$AA$28="Alta",'Mapa final'!$AC$28="Catastrófico"),CONCATENATE("R5C",'Mapa final'!$Q$28),"")</f>
        <v/>
      </c>
      <c r="AL20" s="47" t="str">
        <f>IF(AND('Mapa final'!$AA$29="Alta",'Mapa final'!$AC$29="Catastrófico"),CONCATENATE("R5C",'Mapa final'!$Q$29),"")</f>
        <v/>
      </c>
      <c r="AM20" s="48" t="str">
        <f>IF(AND('Mapa final'!$AA$30="Alta",'Mapa final'!$AC$30="Catastrófico"),CONCATENATE("R5C",'Mapa final'!$Q$30),"")</f>
        <v/>
      </c>
      <c r="AN20" s="74"/>
      <c r="AO20" s="395"/>
      <c r="AP20" s="396"/>
      <c r="AQ20" s="396"/>
      <c r="AR20" s="396"/>
      <c r="AS20" s="396"/>
      <c r="AT20" s="397"/>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row>
    <row r="21" spans="1:76" ht="15" customHeight="1" x14ac:dyDescent="0.25">
      <c r="A21" s="74"/>
      <c r="B21" s="306"/>
      <c r="C21" s="306"/>
      <c r="D21" s="307"/>
      <c r="E21" s="405"/>
      <c r="F21" s="404"/>
      <c r="G21" s="404"/>
      <c r="H21" s="404"/>
      <c r="I21" s="404"/>
      <c r="J21" s="58" t="str">
        <f>IF(AND('Mapa final'!$AA$32="Alta",'Mapa final'!$AC$32="Leve"),CONCATENATE("R6C",'Mapa final'!$Q$32),"")</f>
        <v/>
      </c>
      <c r="K21" s="59" t="e">
        <f>IF(AND('Mapa final'!#REF!="Alta",'Mapa final'!#REF!="Leve"),CONCATENATE("R6C",'Mapa final'!#REF!),"")</f>
        <v>#REF!</v>
      </c>
      <c r="L21" s="59" t="e">
        <f>IF(AND('Mapa final'!#REF!="Alta",'Mapa final'!#REF!="Leve"),CONCATENATE("R6C",'Mapa final'!#REF!),"")</f>
        <v>#REF!</v>
      </c>
      <c r="M21" s="59" t="e">
        <f>IF(AND('Mapa final'!#REF!="Alta",'Mapa final'!#REF!="Leve"),CONCATENATE("R6C",'Mapa final'!#REF!),"")</f>
        <v>#REF!</v>
      </c>
      <c r="N21" s="59" t="str">
        <f>IF(AND('Mapa final'!$AA$34="Alta",'Mapa final'!$AC$34="Leve"),CONCATENATE("R6C",'Mapa final'!$Q$34),"")</f>
        <v/>
      </c>
      <c r="O21" s="60" t="e">
        <f>IF(AND('Mapa final'!#REF!="Alta",'Mapa final'!#REF!="Leve"),CONCATENATE("R6C",'Mapa final'!#REF!),"")</f>
        <v>#REF!</v>
      </c>
      <c r="P21" s="58" t="str">
        <f>IF(AND('Mapa final'!$AA$32="Alta",'Mapa final'!$AC$32="Menor"),CONCATENATE("R6C",'Mapa final'!$Q$32),"")</f>
        <v/>
      </c>
      <c r="Q21" s="59" t="e">
        <f>IF(AND('Mapa final'!#REF!="Alta",'Mapa final'!#REF!="Menor"),CONCATENATE("R6C",'Mapa final'!#REF!),"")</f>
        <v>#REF!</v>
      </c>
      <c r="R21" s="59" t="e">
        <f>IF(AND('Mapa final'!#REF!="Alta",'Mapa final'!#REF!="Menor"),CONCATENATE("R6C",'Mapa final'!#REF!),"")</f>
        <v>#REF!</v>
      </c>
      <c r="S21" s="59" t="e">
        <f>IF(AND('Mapa final'!#REF!="Alta",'Mapa final'!#REF!="Menor"),CONCATENATE("R6C",'Mapa final'!#REF!),"")</f>
        <v>#REF!</v>
      </c>
      <c r="T21" s="59" t="str">
        <f>IF(AND('Mapa final'!$AA$34="Alta",'Mapa final'!$AC$34="Menor"),CONCATENATE("R6C",'Mapa final'!$Q$34),"")</f>
        <v/>
      </c>
      <c r="U21" s="60" t="e">
        <f>IF(AND('Mapa final'!#REF!="Alta",'Mapa final'!#REF!="Menor"),CONCATENATE("R6C",'Mapa final'!#REF!),"")</f>
        <v>#REF!</v>
      </c>
      <c r="V21" s="43" t="str">
        <f>IF(AND('Mapa final'!$AA$32="Alta",'Mapa final'!$AC$32="Moderado"),CONCATENATE("R6C",'Mapa final'!$Q$32),"")</f>
        <v/>
      </c>
      <c r="W21" s="44" t="e">
        <f>IF(AND('Mapa final'!#REF!="Alta",'Mapa final'!#REF!="Moderado"),CONCATENATE("R6C",'Mapa final'!#REF!),"")</f>
        <v>#REF!</v>
      </c>
      <c r="X21" s="44" t="e">
        <f>IF(AND('Mapa final'!#REF!="Alta",'Mapa final'!#REF!="Moderado"),CONCATENATE("R6C",'Mapa final'!#REF!),"")</f>
        <v>#REF!</v>
      </c>
      <c r="Y21" s="44" t="e">
        <f>IF(AND('Mapa final'!#REF!="Alta",'Mapa final'!#REF!="Moderado"),CONCATENATE("R6C",'Mapa final'!#REF!),"")</f>
        <v>#REF!</v>
      </c>
      <c r="Z21" s="44" t="str">
        <f>IF(AND('Mapa final'!$AA$34="Alta",'Mapa final'!$AC$34="Moderado"),CONCATENATE("R6C",'Mapa final'!$Q$34),"")</f>
        <v/>
      </c>
      <c r="AA21" s="45" t="e">
        <f>IF(AND('Mapa final'!#REF!="Alta",'Mapa final'!#REF!="Moderado"),CONCATENATE("R6C",'Mapa final'!#REF!),"")</f>
        <v>#REF!</v>
      </c>
      <c r="AB21" s="43" t="str">
        <f>IF(AND('Mapa final'!$AA$32="Alta",'Mapa final'!$AC$32="Mayor"),CONCATENATE("R6C",'Mapa final'!$Q$32),"")</f>
        <v/>
      </c>
      <c r="AC21" s="44" t="e">
        <f>IF(AND('Mapa final'!#REF!="Alta",'Mapa final'!#REF!="Mayor"),CONCATENATE("R6C",'Mapa final'!#REF!),"")</f>
        <v>#REF!</v>
      </c>
      <c r="AD21" s="44" t="e">
        <f>IF(AND('Mapa final'!#REF!="Alta",'Mapa final'!#REF!="Mayor"),CONCATENATE("R6C",'Mapa final'!#REF!),"")</f>
        <v>#REF!</v>
      </c>
      <c r="AE21" s="44" t="e">
        <f>IF(AND('Mapa final'!#REF!="Alta",'Mapa final'!#REF!="Mayor"),CONCATENATE("R6C",'Mapa final'!#REF!),"")</f>
        <v>#REF!</v>
      </c>
      <c r="AF21" s="44" t="str">
        <f>IF(AND('Mapa final'!$AA$34="Alta",'Mapa final'!$AC$34="Mayor"),CONCATENATE("R6C",'Mapa final'!$Q$34),"")</f>
        <v/>
      </c>
      <c r="AG21" s="45" t="e">
        <f>IF(AND('Mapa final'!#REF!="Alta",'Mapa final'!#REF!="Mayor"),CONCATENATE("R6C",'Mapa final'!#REF!),"")</f>
        <v>#REF!</v>
      </c>
      <c r="AH21" s="46" t="str">
        <f>IF(AND('Mapa final'!$AA$32="Alta",'Mapa final'!$AC$32="Catastrófico"),CONCATENATE("R6C",'Mapa final'!$Q$32),"")</f>
        <v/>
      </c>
      <c r="AI21" s="47" t="e">
        <f>IF(AND('Mapa final'!#REF!="Alta",'Mapa final'!#REF!="Catastrófico"),CONCATENATE("R6C",'Mapa final'!#REF!),"")</f>
        <v>#REF!</v>
      </c>
      <c r="AJ21" s="47" t="e">
        <f>IF(AND('Mapa final'!#REF!="Alta",'Mapa final'!#REF!="Catastrófico"),CONCATENATE("R6C",'Mapa final'!#REF!),"")</f>
        <v>#REF!</v>
      </c>
      <c r="AK21" s="47" t="e">
        <f>IF(AND('Mapa final'!#REF!="Alta",'Mapa final'!#REF!="Catastrófico"),CONCATENATE("R6C",'Mapa final'!#REF!),"")</f>
        <v>#REF!</v>
      </c>
      <c r="AL21" s="47" t="str">
        <f>IF(AND('Mapa final'!$AA$34="Alta",'Mapa final'!$AC$34="Catastrófico"),CONCATENATE("R6C",'Mapa final'!$Q$34),"")</f>
        <v/>
      </c>
      <c r="AM21" s="48" t="e">
        <f>IF(AND('Mapa final'!#REF!="Alta",'Mapa final'!#REF!="Catastrófico"),CONCATENATE("R6C",'Mapa final'!#REF!),"")</f>
        <v>#REF!</v>
      </c>
      <c r="AN21" s="74"/>
      <c r="AO21" s="395"/>
      <c r="AP21" s="396"/>
      <c r="AQ21" s="396"/>
      <c r="AR21" s="396"/>
      <c r="AS21" s="396"/>
      <c r="AT21" s="397"/>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row>
    <row r="22" spans="1:76" ht="15" customHeight="1" x14ac:dyDescent="0.25">
      <c r="A22" s="74"/>
      <c r="B22" s="306"/>
      <c r="C22" s="306"/>
      <c r="D22" s="307"/>
      <c r="E22" s="405"/>
      <c r="F22" s="404"/>
      <c r="G22" s="404"/>
      <c r="H22" s="404"/>
      <c r="I22" s="404"/>
      <c r="J22" s="58" t="e">
        <f>IF(AND('Mapa final'!#REF!="Alta",'Mapa final'!#REF!="Leve"),CONCATENATE("R7C",'Mapa final'!#REF!),"")</f>
        <v>#REF!</v>
      </c>
      <c r="K22" s="59" t="str">
        <f>IF(AND('Mapa final'!$AA$39="Alta",'Mapa final'!$AC$39="Leve"),CONCATENATE("R7C",'Mapa final'!$Q$39),"")</f>
        <v/>
      </c>
      <c r="L22" s="59" t="str">
        <f>IF(AND('Mapa final'!$AA$40="Alta",'Mapa final'!$AC$40="Leve"),CONCATENATE("R7C",'Mapa final'!$Q$40),"")</f>
        <v/>
      </c>
      <c r="M22" s="59" t="e">
        <f>IF(AND('Mapa final'!#REF!="Alta",'Mapa final'!#REF!="Leve"),CONCATENATE("R7C",'Mapa final'!#REF!),"")</f>
        <v>#REF!</v>
      </c>
      <c r="N22" s="59" t="e">
        <f>IF(AND('Mapa final'!#REF!="Alta",'Mapa final'!#REF!="Leve"),CONCATENATE("R7C",'Mapa final'!#REF!),"")</f>
        <v>#REF!</v>
      </c>
      <c r="O22" s="60" t="e">
        <f>IF(AND('Mapa final'!#REF!="Alta",'Mapa final'!#REF!="Leve"),CONCATENATE("R7C",'Mapa final'!#REF!),"")</f>
        <v>#REF!</v>
      </c>
      <c r="P22" s="58" t="e">
        <f>IF(AND('Mapa final'!#REF!="Alta",'Mapa final'!#REF!="Menor"),CONCATENATE("R7C",'Mapa final'!#REF!),"")</f>
        <v>#REF!</v>
      </c>
      <c r="Q22" s="59" t="str">
        <f>IF(AND('Mapa final'!$AA$39="Alta",'Mapa final'!$AC$39="Menor"),CONCATENATE("R7C",'Mapa final'!$Q$39),"")</f>
        <v/>
      </c>
      <c r="R22" s="59" t="str">
        <f>IF(AND('Mapa final'!$AA$40="Alta",'Mapa final'!$AC$40="Menor"),CONCATENATE("R7C",'Mapa final'!$Q$40),"")</f>
        <v/>
      </c>
      <c r="S22" s="59" t="e">
        <f>IF(AND('Mapa final'!#REF!="Alta",'Mapa final'!#REF!="Menor"),CONCATENATE("R7C",'Mapa final'!#REF!),"")</f>
        <v>#REF!</v>
      </c>
      <c r="T22" s="59" t="e">
        <f>IF(AND('Mapa final'!#REF!="Alta",'Mapa final'!#REF!="Menor"),CONCATENATE("R7C",'Mapa final'!#REF!),"")</f>
        <v>#REF!</v>
      </c>
      <c r="U22" s="60" t="e">
        <f>IF(AND('Mapa final'!#REF!="Alta",'Mapa final'!#REF!="Menor"),CONCATENATE("R7C",'Mapa final'!#REF!),"")</f>
        <v>#REF!</v>
      </c>
      <c r="V22" s="43" t="e">
        <f>IF(AND('Mapa final'!#REF!="Alta",'Mapa final'!#REF!="Moderado"),CONCATENATE("R7C",'Mapa final'!#REF!),"")</f>
        <v>#REF!</v>
      </c>
      <c r="W22" s="44" t="str">
        <f>IF(AND('Mapa final'!$AA$39="Alta",'Mapa final'!$AC$39="Moderado"),CONCATENATE("R7C",'Mapa final'!$Q$39),"")</f>
        <v/>
      </c>
      <c r="X22" s="44" t="str">
        <f>IF(AND('Mapa final'!$AA$40="Alta",'Mapa final'!$AC$40="Moderado"),CONCATENATE("R7C",'Mapa final'!$Q$40),"")</f>
        <v/>
      </c>
      <c r="Y22" s="44" t="e">
        <f>IF(AND('Mapa final'!#REF!="Alta",'Mapa final'!#REF!="Moderado"),CONCATENATE("R7C",'Mapa final'!#REF!),"")</f>
        <v>#REF!</v>
      </c>
      <c r="Z22" s="44" t="e">
        <f>IF(AND('Mapa final'!#REF!="Alta",'Mapa final'!#REF!="Moderado"),CONCATENATE("R7C",'Mapa final'!#REF!),"")</f>
        <v>#REF!</v>
      </c>
      <c r="AA22" s="45" t="e">
        <f>IF(AND('Mapa final'!#REF!="Alta",'Mapa final'!#REF!="Moderado"),CONCATENATE("R7C",'Mapa final'!#REF!),"")</f>
        <v>#REF!</v>
      </c>
      <c r="AB22" s="43" t="e">
        <f>IF(AND('Mapa final'!#REF!="Alta",'Mapa final'!#REF!="Mayor"),CONCATENATE("R7C",'Mapa final'!#REF!),"")</f>
        <v>#REF!</v>
      </c>
      <c r="AC22" s="44" t="str">
        <f>IF(AND('Mapa final'!$AA$39="Alta",'Mapa final'!$AC$39="Mayor"),CONCATENATE("R7C",'Mapa final'!$Q$39),"")</f>
        <v/>
      </c>
      <c r="AD22" s="44" t="str">
        <f>IF(AND('Mapa final'!$AA$40="Alta",'Mapa final'!$AC$40="Mayor"),CONCATENATE("R7C",'Mapa final'!$Q$40),"")</f>
        <v/>
      </c>
      <c r="AE22" s="44" t="e">
        <f>IF(AND('Mapa final'!#REF!="Alta",'Mapa final'!#REF!="Mayor"),CONCATENATE("R7C",'Mapa final'!#REF!),"")</f>
        <v>#REF!</v>
      </c>
      <c r="AF22" s="44" t="e">
        <f>IF(AND('Mapa final'!#REF!="Alta",'Mapa final'!#REF!="Mayor"),CONCATENATE("R7C",'Mapa final'!#REF!),"")</f>
        <v>#REF!</v>
      </c>
      <c r="AG22" s="45" t="e">
        <f>IF(AND('Mapa final'!#REF!="Alta",'Mapa final'!#REF!="Mayor"),CONCATENATE("R7C",'Mapa final'!#REF!),"")</f>
        <v>#REF!</v>
      </c>
      <c r="AH22" s="46" t="e">
        <f>IF(AND('Mapa final'!#REF!="Alta",'Mapa final'!#REF!="Catastrófico"),CONCATENATE("R7C",'Mapa final'!#REF!),"")</f>
        <v>#REF!</v>
      </c>
      <c r="AI22" s="47" t="str">
        <f>IF(AND('Mapa final'!$AA$39="Alta",'Mapa final'!$AC$39="Catastrófico"),CONCATENATE("R7C",'Mapa final'!$Q$39),"")</f>
        <v/>
      </c>
      <c r="AJ22" s="47" t="str">
        <f>IF(AND('Mapa final'!$AA$40="Alta",'Mapa final'!$AC$40="Catastrófico"),CONCATENATE("R7C",'Mapa final'!$Q$40),"")</f>
        <v/>
      </c>
      <c r="AK22" s="47" t="e">
        <f>IF(AND('Mapa final'!#REF!="Alta",'Mapa final'!#REF!="Catastrófico"),CONCATENATE("R7C",'Mapa final'!#REF!),"")</f>
        <v>#REF!</v>
      </c>
      <c r="AL22" s="47" t="e">
        <f>IF(AND('Mapa final'!#REF!="Alta",'Mapa final'!#REF!="Catastrófico"),CONCATENATE("R7C",'Mapa final'!#REF!),"")</f>
        <v>#REF!</v>
      </c>
      <c r="AM22" s="48" t="e">
        <f>IF(AND('Mapa final'!#REF!="Alta",'Mapa final'!#REF!="Catastrófico"),CONCATENATE("R7C",'Mapa final'!#REF!),"")</f>
        <v>#REF!</v>
      </c>
      <c r="AN22" s="74"/>
      <c r="AO22" s="395"/>
      <c r="AP22" s="396"/>
      <c r="AQ22" s="396"/>
      <c r="AR22" s="396"/>
      <c r="AS22" s="396"/>
      <c r="AT22" s="397"/>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row>
    <row r="23" spans="1:76" ht="15" customHeight="1" x14ac:dyDescent="0.25">
      <c r="A23" s="74"/>
      <c r="B23" s="306"/>
      <c r="C23" s="306"/>
      <c r="D23" s="307"/>
      <c r="E23" s="405"/>
      <c r="F23" s="404"/>
      <c r="G23" s="404"/>
      <c r="H23" s="404"/>
      <c r="I23" s="404"/>
      <c r="J23" s="58" t="e">
        <f>IF(AND('Mapa final'!#REF!="Alta",'Mapa final'!#REF!="Leve"),CONCATENATE("R8C",'Mapa final'!#REF!),"")</f>
        <v>#REF!</v>
      </c>
      <c r="K23" s="59" t="e">
        <f>IF(AND('Mapa final'!#REF!="Alta",'Mapa final'!#REF!="Leve"),CONCATENATE("R8C",'Mapa final'!#REF!),"")</f>
        <v>#REF!</v>
      </c>
      <c r="L23" s="59" t="e">
        <f>IF(AND('Mapa final'!#REF!="Alta",'Mapa final'!#REF!="Leve"),CONCATENATE("R8C",'Mapa final'!#REF!),"")</f>
        <v>#REF!</v>
      </c>
      <c r="M23" s="59" t="str">
        <f>IF(AND('Mapa final'!$AA$41="Alta",'Mapa final'!$AC$41="Leve"),CONCATENATE("R8C",'Mapa final'!$Q$41),"")</f>
        <v/>
      </c>
      <c r="N23" s="59" t="e">
        <f>IF(AND('Mapa final'!#REF!="Alta",'Mapa final'!#REF!="Leve"),CONCATENATE("R8C",'Mapa final'!#REF!),"")</f>
        <v>#REF!</v>
      </c>
      <c r="O23" s="60" t="e">
        <f>IF(AND('Mapa final'!#REF!="Alta",'Mapa final'!#REF!="Leve"),CONCATENATE("R8C",'Mapa final'!#REF!),"")</f>
        <v>#REF!</v>
      </c>
      <c r="P23" s="58" t="e">
        <f>IF(AND('Mapa final'!#REF!="Alta",'Mapa final'!#REF!="Menor"),CONCATENATE("R8C",'Mapa final'!#REF!),"")</f>
        <v>#REF!</v>
      </c>
      <c r="Q23" s="59" t="e">
        <f>IF(AND('Mapa final'!#REF!="Alta",'Mapa final'!#REF!="Menor"),CONCATENATE("R8C",'Mapa final'!#REF!),"")</f>
        <v>#REF!</v>
      </c>
      <c r="R23" s="59" t="e">
        <f>IF(AND('Mapa final'!#REF!="Alta",'Mapa final'!#REF!="Menor"),CONCATENATE("R8C",'Mapa final'!#REF!),"")</f>
        <v>#REF!</v>
      </c>
      <c r="S23" s="59" t="str">
        <f>IF(AND('Mapa final'!$AA$41="Alta",'Mapa final'!$AC$41="Menor"),CONCATENATE("R8C",'Mapa final'!$Q$41),"")</f>
        <v/>
      </c>
      <c r="T23" s="59" t="e">
        <f>IF(AND('Mapa final'!#REF!="Alta",'Mapa final'!#REF!="Menor"),CONCATENATE("R8C",'Mapa final'!#REF!),"")</f>
        <v>#REF!</v>
      </c>
      <c r="U23" s="60" t="e">
        <f>IF(AND('Mapa final'!#REF!="Alta",'Mapa final'!#REF!="Menor"),CONCATENATE("R8C",'Mapa final'!#REF!),"")</f>
        <v>#REF!</v>
      </c>
      <c r="V23" s="43" t="e">
        <f>IF(AND('Mapa final'!#REF!="Alta",'Mapa final'!#REF!="Moderado"),CONCATENATE("R8C",'Mapa final'!#REF!),"")</f>
        <v>#REF!</v>
      </c>
      <c r="W23" s="44" t="e">
        <f>IF(AND('Mapa final'!#REF!="Alta",'Mapa final'!#REF!="Moderado"),CONCATENATE("R8C",'Mapa final'!#REF!),"")</f>
        <v>#REF!</v>
      </c>
      <c r="X23" s="44" t="e">
        <f>IF(AND('Mapa final'!#REF!="Alta",'Mapa final'!#REF!="Moderado"),CONCATENATE("R8C",'Mapa final'!#REF!),"")</f>
        <v>#REF!</v>
      </c>
      <c r="Y23" s="44" t="str">
        <f>IF(AND('Mapa final'!$AA$41="Alta",'Mapa final'!$AC$41="Moderado"),CONCATENATE("R8C",'Mapa final'!$Q$41),"")</f>
        <v/>
      </c>
      <c r="Z23" s="44" t="e">
        <f>IF(AND('Mapa final'!#REF!="Alta",'Mapa final'!#REF!="Moderado"),CONCATENATE("R8C",'Mapa final'!#REF!),"")</f>
        <v>#REF!</v>
      </c>
      <c r="AA23" s="45" t="e">
        <f>IF(AND('Mapa final'!#REF!="Alta",'Mapa final'!#REF!="Moderado"),CONCATENATE("R8C",'Mapa final'!#REF!),"")</f>
        <v>#REF!</v>
      </c>
      <c r="AB23" s="43" t="e">
        <f>IF(AND('Mapa final'!#REF!="Alta",'Mapa final'!#REF!="Mayor"),CONCATENATE("R8C",'Mapa final'!#REF!),"")</f>
        <v>#REF!</v>
      </c>
      <c r="AC23" s="44" t="e">
        <f>IF(AND('Mapa final'!#REF!="Alta",'Mapa final'!#REF!="Mayor"),CONCATENATE("R8C",'Mapa final'!#REF!),"")</f>
        <v>#REF!</v>
      </c>
      <c r="AD23" s="44" t="e">
        <f>IF(AND('Mapa final'!#REF!="Alta",'Mapa final'!#REF!="Mayor"),CONCATENATE("R8C",'Mapa final'!#REF!),"")</f>
        <v>#REF!</v>
      </c>
      <c r="AE23" s="44" t="str">
        <f>IF(AND('Mapa final'!$AA$41="Alta",'Mapa final'!$AC$41="Mayor"),CONCATENATE("R8C",'Mapa final'!$Q$41),"")</f>
        <v/>
      </c>
      <c r="AF23" s="44" t="e">
        <f>IF(AND('Mapa final'!#REF!="Alta",'Mapa final'!#REF!="Mayor"),CONCATENATE("R8C",'Mapa final'!#REF!),"")</f>
        <v>#REF!</v>
      </c>
      <c r="AG23" s="45" t="e">
        <f>IF(AND('Mapa final'!#REF!="Alta",'Mapa final'!#REF!="Mayor"),CONCATENATE("R8C",'Mapa final'!#REF!),"")</f>
        <v>#REF!</v>
      </c>
      <c r="AH23" s="46" t="e">
        <f>IF(AND('Mapa final'!#REF!="Alta",'Mapa final'!#REF!="Catastrófico"),CONCATENATE("R8C",'Mapa final'!#REF!),"")</f>
        <v>#REF!</v>
      </c>
      <c r="AI23" s="47" t="e">
        <f>IF(AND('Mapa final'!#REF!="Alta",'Mapa final'!#REF!="Catastrófico"),CONCATENATE("R8C",'Mapa final'!#REF!),"")</f>
        <v>#REF!</v>
      </c>
      <c r="AJ23" s="47" t="e">
        <f>IF(AND('Mapa final'!#REF!="Alta",'Mapa final'!#REF!="Catastrófico"),CONCATENATE("R8C",'Mapa final'!#REF!),"")</f>
        <v>#REF!</v>
      </c>
      <c r="AK23" s="47" t="str">
        <f>IF(AND('Mapa final'!$AA$41="Alta",'Mapa final'!$AC$41="Catastrófico"),CONCATENATE("R8C",'Mapa final'!$Q$41),"")</f>
        <v/>
      </c>
      <c r="AL23" s="47" t="e">
        <f>IF(AND('Mapa final'!#REF!="Alta",'Mapa final'!#REF!="Catastrófico"),CONCATENATE("R8C",'Mapa final'!#REF!),"")</f>
        <v>#REF!</v>
      </c>
      <c r="AM23" s="48" t="e">
        <f>IF(AND('Mapa final'!#REF!="Alta",'Mapa final'!#REF!="Catastrófico"),CONCATENATE("R8C",'Mapa final'!#REF!),"")</f>
        <v>#REF!</v>
      </c>
      <c r="AN23" s="74"/>
      <c r="AO23" s="395"/>
      <c r="AP23" s="396"/>
      <c r="AQ23" s="396"/>
      <c r="AR23" s="396"/>
      <c r="AS23" s="396"/>
      <c r="AT23" s="397"/>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row>
    <row r="24" spans="1:76" ht="15" customHeight="1" x14ac:dyDescent="0.25">
      <c r="A24" s="74"/>
      <c r="B24" s="306"/>
      <c r="C24" s="306"/>
      <c r="D24" s="307"/>
      <c r="E24" s="405"/>
      <c r="F24" s="404"/>
      <c r="G24" s="404"/>
      <c r="H24" s="404"/>
      <c r="I24" s="404"/>
      <c r="J24" s="58" t="str">
        <f>IF(AND('Mapa final'!$AA$42="Alta",'Mapa final'!$AC$42="Leve"),CONCATENATE("R9C",'Mapa final'!$Q$42),"")</f>
        <v/>
      </c>
      <c r="K24" s="59" t="str">
        <f>IF(AND('Mapa final'!$AA$43="Alta",'Mapa final'!$AC$43="Leve"),CONCATENATE("R9C",'Mapa final'!$Q$43),"")</f>
        <v/>
      </c>
      <c r="L24" s="59" t="e">
        <f>IF(AND('Mapa final'!#REF!="Alta",'Mapa final'!#REF!="Leve"),CONCATENATE("R9C",'Mapa final'!#REF!),"")</f>
        <v>#REF!</v>
      </c>
      <c r="M24" s="59" t="e">
        <f>IF(AND('Mapa final'!#REF!="Alta",'Mapa final'!#REF!="Leve"),CONCATENATE("R9C",'Mapa final'!#REF!),"")</f>
        <v>#REF!</v>
      </c>
      <c r="N24" s="59" t="str">
        <f>IF(AND('Mapa final'!$AA$45="Alta",'Mapa final'!$AC$45="Leve"),CONCATENATE("R9C",'Mapa final'!$Q$45),"")</f>
        <v/>
      </c>
      <c r="O24" s="60" t="e">
        <f>IF(AND('Mapa final'!#REF!="Alta",'Mapa final'!#REF!="Leve"),CONCATENATE("R9C",'Mapa final'!#REF!),"")</f>
        <v>#REF!</v>
      </c>
      <c r="P24" s="58" t="str">
        <f>IF(AND('Mapa final'!$AA$42="Alta",'Mapa final'!$AC$42="Menor"),CONCATENATE("R9C",'Mapa final'!$Q$42),"")</f>
        <v/>
      </c>
      <c r="Q24" s="59" t="str">
        <f>IF(AND('Mapa final'!$AA$43="Alta",'Mapa final'!$AC$43="Menor"),CONCATENATE("R9C",'Mapa final'!$Q$43),"")</f>
        <v/>
      </c>
      <c r="R24" s="59" t="e">
        <f>IF(AND('Mapa final'!#REF!="Alta",'Mapa final'!#REF!="Menor"),CONCATENATE("R9C",'Mapa final'!#REF!),"")</f>
        <v>#REF!</v>
      </c>
      <c r="S24" s="59" t="e">
        <f>IF(AND('Mapa final'!#REF!="Alta",'Mapa final'!#REF!="Menor"),CONCATENATE("R9C",'Mapa final'!#REF!),"")</f>
        <v>#REF!</v>
      </c>
      <c r="T24" s="59" t="str">
        <f>IF(AND('Mapa final'!$AA$45="Alta",'Mapa final'!$AC$45="Menor"),CONCATENATE("R9C",'Mapa final'!$Q$45),"")</f>
        <v/>
      </c>
      <c r="U24" s="60" t="e">
        <f>IF(AND('Mapa final'!#REF!="Alta",'Mapa final'!#REF!="Menor"),CONCATENATE("R9C",'Mapa final'!#REF!),"")</f>
        <v>#REF!</v>
      </c>
      <c r="V24" s="43" t="str">
        <f>IF(AND('Mapa final'!$AA$42="Alta",'Mapa final'!$AC$42="Moderado"),CONCATENATE("R9C",'Mapa final'!$Q$42),"")</f>
        <v/>
      </c>
      <c r="W24" s="44" t="str">
        <f>IF(AND('Mapa final'!$AA$43="Alta",'Mapa final'!$AC$43="Moderado"),CONCATENATE("R9C",'Mapa final'!$Q$43),"")</f>
        <v/>
      </c>
      <c r="X24" s="44" t="e">
        <f>IF(AND('Mapa final'!#REF!="Alta",'Mapa final'!#REF!="Moderado"),CONCATENATE("R9C",'Mapa final'!#REF!),"")</f>
        <v>#REF!</v>
      </c>
      <c r="Y24" s="44" t="e">
        <f>IF(AND('Mapa final'!#REF!="Alta",'Mapa final'!#REF!="Moderado"),CONCATENATE("R9C",'Mapa final'!#REF!),"")</f>
        <v>#REF!</v>
      </c>
      <c r="Z24" s="44" t="str">
        <f>IF(AND('Mapa final'!$AA$45="Alta",'Mapa final'!$AC$45="Moderado"),CONCATENATE("R9C",'Mapa final'!$Q$45),"")</f>
        <v/>
      </c>
      <c r="AA24" s="45" t="e">
        <f>IF(AND('Mapa final'!#REF!="Alta",'Mapa final'!#REF!="Moderado"),CONCATENATE("R9C",'Mapa final'!#REF!),"")</f>
        <v>#REF!</v>
      </c>
      <c r="AB24" s="43" t="str">
        <f>IF(AND('Mapa final'!$AA$42="Alta",'Mapa final'!$AC$42="Mayor"),CONCATENATE("R9C",'Mapa final'!$Q$42),"")</f>
        <v/>
      </c>
      <c r="AC24" s="44" t="str">
        <f>IF(AND('Mapa final'!$AA$43="Alta",'Mapa final'!$AC$43="Mayor"),CONCATENATE("R9C",'Mapa final'!$Q$43),"")</f>
        <v/>
      </c>
      <c r="AD24" s="44" t="e">
        <f>IF(AND('Mapa final'!#REF!="Alta",'Mapa final'!#REF!="Mayor"),CONCATENATE("R9C",'Mapa final'!#REF!),"")</f>
        <v>#REF!</v>
      </c>
      <c r="AE24" s="44" t="e">
        <f>IF(AND('Mapa final'!#REF!="Alta",'Mapa final'!#REF!="Mayor"),CONCATENATE("R9C",'Mapa final'!#REF!),"")</f>
        <v>#REF!</v>
      </c>
      <c r="AF24" s="44" t="str">
        <f>IF(AND('Mapa final'!$AA$45="Alta",'Mapa final'!$AC$45="Mayor"),CONCATENATE("R9C",'Mapa final'!$Q$45),"")</f>
        <v/>
      </c>
      <c r="AG24" s="45" t="e">
        <f>IF(AND('Mapa final'!#REF!="Alta",'Mapa final'!#REF!="Mayor"),CONCATENATE("R9C",'Mapa final'!#REF!),"")</f>
        <v>#REF!</v>
      </c>
      <c r="AH24" s="46" t="str">
        <f>IF(AND('Mapa final'!$AA$42="Alta",'Mapa final'!$AC$42="Catastrófico"),CONCATENATE("R9C",'Mapa final'!$Q$42),"")</f>
        <v/>
      </c>
      <c r="AI24" s="47" t="str">
        <f>IF(AND('Mapa final'!$AA$43="Alta",'Mapa final'!$AC$43="Catastrófico"),CONCATENATE("R9C",'Mapa final'!$Q$43),"")</f>
        <v/>
      </c>
      <c r="AJ24" s="47" t="e">
        <f>IF(AND('Mapa final'!#REF!="Alta",'Mapa final'!#REF!="Catastrófico"),CONCATENATE("R9C",'Mapa final'!#REF!),"")</f>
        <v>#REF!</v>
      </c>
      <c r="AK24" s="47" t="e">
        <f>IF(AND('Mapa final'!#REF!="Alta",'Mapa final'!#REF!="Catastrófico"),CONCATENATE("R9C",'Mapa final'!#REF!),"")</f>
        <v>#REF!</v>
      </c>
      <c r="AL24" s="47" t="str">
        <f>IF(AND('Mapa final'!$AA$45="Alta",'Mapa final'!$AC$45="Catastrófico"),CONCATENATE("R9C",'Mapa final'!$Q$45),"")</f>
        <v/>
      </c>
      <c r="AM24" s="48" t="e">
        <f>IF(AND('Mapa final'!#REF!="Alta",'Mapa final'!#REF!="Catastrófico"),CONCATENATE("R9C",'Mapa final'!#REF!),"")</f>
        <v>#REF!</v>
      </c>
      <c r="AN24" s="74"/>
      <c r="AO24" s="395"/>
      <c r="AP24" s="396"/>
      <c r="AQ24" s="396"/>
      <c r="AR24" s="396"/>
      <c r="AS24" s="396"/>
      <c r="AT24" s="397"/>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row>
    <row r="25" spans="1:76" ht="15.75" customHeight="1" thickBot="1" x14ac:dyDescent="0.3">
      <c r="A25" s="74"/>
      <c r="B25" s="306"/>
      <c r="C25" s="306"/>
      <c r="D25" s="307"/>
      <c r="E25" s="406"/>
      <c r="F25" s="407"/>
      <c r="G25" s="407"/>
      <c r="H25" s="407"/>
      <c r="I25" s="407"/>
      <c r="J25" s="61" t="e">
        <f>IF(AND('Mapa final'!#REF!="Alta",'Mapa final'!#REF!="Leve"),CONCATENATE("R10C",'Mapa final'!#REF!),"")</f>
        <v>#REF!</v>
      </c>
      <c r="K25" s="62" t="str">
        <f>IF(AND('Mapa final'!$AA$46="Alta",'Mapa final'!$AC$46="Leve"),CONCATENATE("R10C",'Mapa final'!$Q$46),"")</f>
        <v/>
      </c>
      <c r="L25" s="62" t="e">
        <f>IF(AND('Mapa final'!#REF!="Alta",'Mapa final'!#REF!="Leve"),CONCATENATE("R10C",'Mapa final'!#REF!),"")</f>
        <v>#REF!</v>
      </c>
      <c r="M25" s="62" t="e">
        <f>IF(AND('Mapa final'!#REF!="Alta",'Mapa final'!#REF!="Leve"),CONCATENATE("R10C",'Mapa final'!#REF!),"")</f>
        <v>#REF!</v>
      </c>
      <c r="N25" s="62" t="e">
        <f>IF(AND('Mapa final'!#REF!="Alta",'Mapa final'!#REF!="Leve"),CONCATENATE("R10C",'Mapa final'!#REF!),"")</f>
        <v>#REF!</v>
      </c>
      <c r="O25" s="63" t="e">
        <f>IF(AND('Mapa final'!#REF!="Alta",'Mapa final'!#REF!="Leve"),CONCATENATE("R10C",'Mapa final'!#REF!),"")</f>
        <v>#REF!</v>
      </c>
      <c r="P25" s="61" t="e">
        <f>IF(AND('Mapa final'!#REF!="Alta",'Mapa final'!#REF!="Menor"),CONCATENATE("R10C",'Mapa final'!#REF!),"")</f>
        <v>#REF!</v>
      </c>
      <c r="Q25" s="62" t="str">
        <f>IF(AND('Mapa final'!$AA$46="Alta",'Mapa final'!$AC$46="Menor"),CONCATENATE("R10C",'Mapa final'!$Q$46),"")</f>
        <v/>
      </c>
      <c r="R25" s="62" t="e">
        <f>IF(AND('Mapa final'!#REF!="Alta",'Mapa final'!#REF!="Menor"),CONCATENATE("R10C",'Mapa final'!#REF!),"")</f>
        <v>#REF!</v>
      </c>
      <c r="S25" s="62" t="e">
        <f>IF(AND('Mapa final'!#REF!="Alta",'Mapa final'!#REF!="Menor"),CONCATENATE("R10C",'Mapa final'!#REF!),"")</f>
        <v>#REF!</v>
      </c>
      <c r="T25" s="62" t="e">
        <f>IF(AND('Mapa final'!#REF!="Alta",'Mapa final'!#REF!="Menor"),CONCATENATE("R10C",'Mapa final'!#REF!),"")</f>
        <v>#REF!</v>
      </c>
      <c r="U25" s="63" t="e">
        <f>IF(AND('Mapa final'!#REF!="Alta",'Mapa final'!#REF!="Menor"),CONCATENATE("R10C",'Mapa final'!#REF!),"")</f>
        <v>#REF!</v>
      </c>
      <c r="V25" s="49" t="e">
        <f>IF(AND('Mapa final'!#REF!="Alta",'Mapa final'!#REF!="Moderado"),CONCATENATE("R10C",'Mapa final'!#REF!),"")</f>
        <v>#REF!</v>
      </c>
      <c r="W25" s="50" t="str">
        <f>IF(AND('Mapa final'!$AA$46="Alta",'Mapa final'!$AC$46="Moderado"),CONCATENATE("R10C",'Mapa final'!$Q$46),"")</f>
        <v/>
      </c>
      <c r="X25" s="50" t="e">
        <f>IF(AND('Mapa final'!#REF!="Alta",'Mapa final'!#REF!="Moderado"),CONCATENATE("R10C",'Mapa final'!#REF!),"")</f>
        <v>#REF!</v>
      </c>
      <c r="Y25" s="50" t="e">
        <f>IF(AND('Mapa final'!#REF!="Alta",'Mapa final'!#REF!="Moderado"),CONCATENATE("R10C",'Mapa final'!#REF!),"")</f>
        <v>#REF!</v>
      </c>
      <c r="Z25" s="50" t="e">
        <f>IF(AND('Mapa final'!#REF!="Alta",'Mapa final'!#REF!="Moderado"),CONCATENATE("R10C",'Mapa final'!#REF!),"")</f>
        <v>#REF!</v>
      </c>
      <c r="AA25" s="51" t="e">
        <f>IF(AND('Mapa final'!#REF!="Alta",'Mapa final'!#REF!="Moderado"),CONCATENATE("R10C",'Mapa final'!#REF!),"")</f>
        <v>#REF!</v>
      </c>
      <c r="AB25" s="49" t="e">
        <f>IF(AND('Mapa final'!#REF!="Alta",'Mapa final'!#REF!="Mayor"),CONCATENATE("R10C",'Mapa final'!#REF!),"")</f>
        <v>#REF!</v>
      </c>
      <c r="AC25" s="50" t="str">
        <f>IF(AND('Mapa final'!$AA$46="Alta",'Mapa final'!$AC$46="Mayor"),CONCATENATE("R10C",'Mapa final'!$Q$46),"")</f>
        <v/>
      </c>
      <c r="AD25" s="50" t="e">
        <f>IF(AND('Mapa final'!#REF!="Alta",'Mapa final'!#REF!="Mayor"),CONCATENATE("R10C",'Mapa final'!#REF!),"")</f>
        <v>#REF!</v>
      </c>
      <c r="AE25" s="50" t="e">
        <f>IF(AND('Mapa final'!#REF!="Alta",'Mapa final'!#REF!="Mayor"),CONCATENATE("R10C",'Mapa final'!#REF!),"")</f>
        <v>#REF!</v>
      </c>
      <c r="AF25" s="50" t="e">
        <f>IF(AND('Mapa final'!#REF!="Alta",'Mapa final'!#REF!="Mayor"),CONCATENATE("R10C",'Mapa final'!#REF!),"")</f>
        <v>#REF!</v>
      </c>
      <c r="AG25" s="51" t="e">
        <f>IF(AND('Mapa final'!#REF!="Alta",'Mapa final'!#REF!="Mayor"),CONCATENATE("R10C",'Mapa final'!#REF!),"")</f>
        <v>#REF!</v>
      </c>
      <c r="AH25" s="52" t="e">
        <f>IF(AND('Mapa final'!#REF!="Alta",'Mapa final'!#REF!="Catastrófico"),CONCATENATE("R10C",'Mapa final'!#REF!),"")</f>
        <v>#REF!</v>
      </c>
      <c r="AI25" s="53" t="str">
        <f>IF(AND('Mapa final'!$AA$46="Alta",'Mapa final'!$AC$46="Catastrófico"),CONCATENATE("R10C",'Mapa final'!$Q$46),"")</f>
        <v/>
      </c>
      <c r="AJ25" s="53" t="e">
        <f>IF(AND('Mapa final'!#REF!="Alta",'Mapa final'!#REF!="Catastrófico"),CONCATENATE("R10C",'Mapa final'!#REF!),"")</f>
        <v>#REF!</v>
      </c>
      <c r="AK25" s="53" t="e">
        <f>IF(AND('Mapa final'!#REF!="Alta",'Mapa final'!#REF!="Catastrófico"),CONCATENATE("R10C",'Mapa final'!#REF!),"")</f>
        <v>#REF!</v>
      </c>
      <c r="AL25" s="53" t="e">
        <f>IF(AND('Mapa final'!#REF!="Alta",'Mapa final'!#REF!="Catastrófico"),CONCATENATE("R10C",'Mapa final'!#REF!),"")</f>
        <v>#REF!</v>
      </c>
      <c r="AM25" s="54" t="e">
        <f>IF(AND('Mapa final'!#REF!="Alta",'Mapa final'!#REF!="Catastrófico"),CONCATENATE("R10C",'Mapa final'!#REF!),"")</f>
        <v>#REF!</v>
      </c>
      <c r="AN25" s="74"/>
      <c r="AO25" s="398"/>
      <c r="AP25" s="399"/>
      <c r="AQ25" s="399"/>
      <c r="AR25" s="399"/>
      <c r="AS25" s="399"/>
      <c r="AT25" s="400"/>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row>
    <row r="26" spans="1:76" ht="15" customHeight="1" x14ac:dyDescent="0.25">
      <c r="A26" s="74"/>
      <c r="B26" s="306"/>
      <c r="C26" s="306"/>
      <c r="D26" s="307"/>
      <c r="E26" s="401" t="s">
        <v>116</v>
      </c>
      <c r="F26" s="402"/>
      <c r="G26" s="402"/>
      <c r="H26" s="402"/>
      <c r="I26" s="419"/>
      <c r="J26" s="55" t="str">
        <f>IF(AND('Mapa final'!$AA$9="Media",'Mapa final'!$AC$9="Leve"),CONCATENATE("R1C",'Mapa final'!$Q$9),"")</f>
        <v/>
      </c>
      <c r="K26" s="56" t="str">
        <f>IF(AND('Mapa final'!$AA$10="Media",'Mapa final'!$AC$10="Leve"),CONCATENATE("R1C",'Mapa final'!$Q$10),"")</f>
        <v/>
      </c>
      <c r="L26" s="56" t="str">
        <f>IF(AND('Mapa final'!$AA$11="Media",'Mapa final'!$AC$11="Leve"),CONCATENATE("R1C",'Mapa final'!$Q$11),"")</f>
        <v/>
      </c>
      <c r="M26" s="56" t="str">
        <f>IF(AND('Mapa final'!$AA$12="Media",'Mapa final'!$AC$12="Leve"),CONCATENATE("R1C",'Mapa final'!$Q$12),"")</f>
        <v/>
      </c>
      <c r="N26" s="56" t="str">
        <f>IF(AND('Mapa final'!$AA$13="Media",'Mapa final'!$AC$13="Leve"),CONCATENATE("R1C",'Mapa final'!$Q$13),"")</f>
        <v/>
      </c>
      <c r="O26" s="57" t="str">
        <f>IF(AND('Mapa final'!$AA$14="Media",'Mapa final'!$AC$14="Leve"),CONCATENATE("R1C",'Mapa final'!$Q$14),"")</f>
        <v/>
      </c>
      <c r="P26" s="55" t="str">
        <f>IF(AND('Mapa final'!$AA$9="Media",'Mapa final'!$AC$9="Menor"),CONCATENATE("R1C",'Mapa final'!$Q$9),"")</f>
        <v/>
      </c>
      <c r="Q26" s="56" t="str">
        <f>IF(AND('Mapa final'!$AA$10="Media",'Mapa final'!$AC$10="Menor"),CONCATENATE("R1C",'Mapa final'!$Q$10),"")</f>
        <v/>
      </c>
      <c r="R26" s="56" t="str">
        <f>IF(AND('Mapa final'!$AA$11="Media",'Mapa final'!$AC$11="Menor"),CONCATENATE("R1C",'Mapa final'!$Q$11),"")</f>
        <v/>
      </c>
      <c r="S26" s="56" t="str">
        <f>IF(AND('Mapa final'!$AA$12="Media",'Mapa final'!$AC$12="Menor"),CONCATENATE("R1C",'Mapa final'!$Q$12),"")</f>
        <v/>
      </c>
      <c r="T26" s="56" t="str">
        <f>IF(AND('Mapa final'!$AA$13="Media",'Mapa final'!$AC$13="Menor"),CONCATENATE("R1C",'Mapa final'!$Q$13),"")</f>
        <v/>
      </c>
      <c r="U26" s="57" t="str">
        <f>IF(AND('Mapa final'!$AA$14="Media",'Mapa final'!$AC$14="Menor"),CONCATENATE("R1C",'Mapa final'!$Q$14),"")</f>
        <v/>
      </c>
      <c r="V26" s="55" t="str">
        <f>IF(AND('Mapa final'!$AA$9="Media",'Mapa final'!$AC$9="Moderado"),CONCATENATE("R1C",'Mapa final'!$Q$9),"")</f>
        <v/>
      </c>
      <c r="W26" s="56" t="str">
        <f>IF(AND('Mapa final'!$AA$10="Media",'Mapa final'!$AC$10="Moderado"),CONCATENATE("R1C",'Mapa final'!$Q$10),"")</f>
        <v/>
      </c>
      <c r="X26" s="56" t="str">
        <f>IF(AND('Mapa final'!$AA$11="Media",'Mapa final'!$AC$11="Moderado"),CONCATENATE("R1C",'Mapa final'!$Q$11),"")</f>
        <v/>
      </c>
      <c r="Y26" s="56" t="str">
        <f>IF(AND('Mapa final'!$AA$12="Media",'Mapa final'!$AC$12="Moderado"),CONCATENATE("R1C",'Mapa final'!$Q$12),"")</f>
        <v/>
      </c>
      <c r="Z26" s="56" t="str">
        <f>IF(AND('Mapa final'!$AA$13="Media",'Mapa final'!$AC$13="Moderado"),CONCATENATE("R1C",'Mapa final'!$Q$13),"")</f>
        <v/>
      </c>
      <c r="AA26" s="57" t="str">
        <f>IF(AND('Mapa final'!$AA$14="Media",'Mapa final'!$AC$14="Moderado"),CONCATENATE("R1C",'Mapa final'!$Q$14),"")</f>
        <v/>
      </c>
      <c r="AB26" s="37" t="str">
        <f>IF(AND('Mapa final'!$AA$9="Media",'Mapa final'!$AC$9="Mayor"),CONCATENATE("R1C",'Mapa final'!$Q$9),"")</f>
        <v/>
      </c>
      <c r="AC26" s="38" t="str">
        <f>IF(AND('Mapa final'!$AA$10="Media",'Mapa final'!$AC$10="Mayor"),CONCATENATE("R1C",'Mapa final'!$Q$10),"")</f>
        <v/>
      </c>
      <c r="AD26" s="38" t="str">
        <f>IF(AND('Mapa final'!$AA$11="Media",'Mapa final'!$AC$11="Mayor"),CONCATENATE("R1C",'Mapa final'!$Q$11),"")</f>
        <v/>
      </c>
      <c r="AE26" s="38" t="str">
        <f>IF(AND('Mapa final'!$AA$12="Media",'Mapa final'!$AC$12="Mayor"),CONCATENATE("R1C",'Mapa final'!$Q$12),"")</f>
        <v/>
      </c>
      <c r="AF26" s="38" t="str">
        <f>IF(AND('Mapa final'!$AA$13="Media",'Mapa final'!$AC$13="Mayor"),CONCATENATE("R1C",'Mapa final'!$Q$13),"")</f>
        <v/>
      </c>
      <c r="AG26" s="39" t="str">
        <f>IF(AND('Mapa final'!$AA$14="Media",'Mapa final'!$AC$14="Mayor"),CONCATENATE("R1C",'Mapa final'!$Q$14),"")</f>
        <v/>
      </c>
      <c r="AH26" s="40" t="str">
        <f>IF(AND('Mapa final'!$AA$9="Media",'Mapa final'!$AC$9="Catastrófico"),CONCATENATE("R1C",'Mapa final'!$Q$9),"")</f>
        <v/>
      </c>
      <c r="AI26" s="41" t="str">
        <f>IF(AND('Mapa final'!$AA$10="Media",'Mapa final'!$AC$10="Catastrófico"),CONCATENATE("R1C",'Mapa final'!$Q$10),"")</f>
        <v/>
      </c>
      <c r="AJ26" s="41" t="str">
        <f>IF(AND('Mapa final'!$AA$11="Media",'Mapa final'!$AC$11="Catastrófico"),CONCATENATE("R1C",'Mapa final'!$Q$11),"")</f>
        <v/>
      </c>
      <c r="AK26" s="41" t="str">
        <f>IF(AND('Mapa final'!$AA$12="Media",'Mapa final'!$AC$12="Catastrófico"),CONCATENATE("R1C",'Mapa final'!$Q$12),"")</f>
        <v/>
      </c>
      <c r="AL26" s="41" t="str">
        <f>IF(AND('Mapa final'!$AA$13="Media",'Mapa final'!$AC$13="Catastrófico"),CONCATENATE("R1C",'Mapa final'!$Q$13),"")</f>
        <v/>
      </c>
      <c r="AM26" s="42" t="str">
        <f>IF(AND('Mapa final'!$AA$14="Media",'Mapa final'!$AC$14="Catastrófico"),CONCATENATE("R1C",'Mapa final'!$Q$14),"")</f>
        <v/>
      </c>
      <c r="AN26" s="74"/>
      <c r="AO26" s="431" t="s">
        <v>80</v>
      </c>
      <c r="AP26" s="432"/>
      <c r="AQ26" s="432"/>
      <c r="AR26" s="432"/>
      <c r="AS26" s="432"/>
      <c r="AT26" s="433"/>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row>
    <row r="27" spans="1:76" ht="15" customHeight="1" x14ac:dyDescent="0.25">
      <c r="A27" s="74"/>
      <c r="B27" s="306"/>
      <c r="C27" s="306"/>
      <c r="D27" s="307"/>
      <c r="E27" s="403"/>
      <c r="F27" s="404"/>
      <c r="G27" s="404"/>
      <c r="H27" s="404"/>
      <c r="I27" s="420"/>
      <c r="J27" s="58" t="str">
        <f>IF(AND('Mapa final'!$AA$15="Media",'Mapa final'!$AC$15="Leve"),CONCATENATE("R2C",'Mapa final'!$Q$15),"")</f>
        <v/>
      </c>
      <c r="K27" s="59" t="str">
        <f>IF(AND('Mapa final'!$AA$16="Media",'Mapa final'!$AC$16="Leve"),CONCATENATE("R2C",'Mapa final'!$Q$16),"")</f>
        <v/>
      </c>
      <c r="L27" s="59" t="str">
        <f>IF(AND('Mapa final'!$AA$17="Media",'Mapa final'!$AC$17="Leve"),CONCATENATE("R2C",'Mapa final'!$Q$17),"")</f>
        <v/>
      </c>
      <c r="M27" s="59" t="e">
        <f>IF(AND('Mapa final'!#REF!="Media",'Mapa final'!#REF!="Leve"),CONCATENATE("R2C",'Mapa final'!#REF!),"")</f>
        <v>#REF!</v>
      </c>
      <c r="N27" s="59" t="str">
        <f>IF(AND('Mapa final'!$AA$18="Media",'Mapa final'!$AC$18="Leve"),CONCATENATE("R2C",'Mapa final'!$Q$18),"")</f>
        <v/>
      </c>
      <c r="O27" s="60" t="e">
        <f>IF(AND('Mapa final'!#REF!="Media",'Mapa final'!#REF!="Leve"),CONCATENATE("R2C",'Mapa final'!#REF!),"")</f>
        <v>#REF!</v>
      </c>
      <c r="P27" s="58" t="str">
        <f>IF(AND('Mapa final'!$AA$15="Media",'Mapa final'!$AC$15="Menor"),CONCATENATE("R2C",'Mapa final'!$Q$15),"")</f>
        <v/>
      </c>
      <c r="Q27" s="59" t="str">
        <f>IF(AND('Mapa final'!$AA$16="Media",'Mapa final'!$AC$16="Menor"),CONCATENATE("R2C",'Mapa final'!$Q$16),"")</f>
        <v/>
      </c>
      <c r="R27" s="59" t="str">
        <f>IF(AND('Mapa final'!$AA$17="Media",'Mapa final'!$AC$17="Menor"),CONCATENATE("R2C",'Mapa final'!$Q$17),"")</f>
        <v/>
      </c>
      <c r="S27" s="59" t="e">
        <f>IF(AND('Mapa final'!#REF!="Media",'Mapa final'!#REF!="Menor"),CONCATENATE("R2C",'Mapa final'!#REF!),"")</f>
        <v>#REF!</v>
      </c>
      <c r="T27" s="59" t="str">
        <f>IF(AND('Mapa final'!$AA$18="Media",'Mapa final'!$AC$18="Menor"),CONCATENATE("R2C",'Mapa final'!$Q$18),"")</f>
        <v/>
      </c>
      <c r="U27" s="60" t="e">
        <f>IF(AND('Mapa final'!#REF!="Media",'Mapa final'!#REF!="Menor"),CONCATENATE("R2C",'Mapa final'!#REF!),"")</f>
        <v>#REF!</v>
      </c>
      <c r="V27" s="58" t="str">
        <f>IF(AND('Mapa final'!$AA$15="Media",'Mapa final'!$AC$15="Moderado"),CONCATENATE("R2C",'Mapa final'!$Q$15),"")</f>
        <v/>
      </c>
      <c r="W27" s="59" t="str">
        <f>IF(AND('Mapa final'!$AA$16="Media",'Mapa final'!$AC$16="Moderado"),CONCATENATE("R2C",'Mapa final'!$Q$16),"")</f>
        <v/>
      </c>
      <c r="X27" s="59" t="str">
        <f>IF(AND('Mapa final'!$AA$17="Media",'Mapa final'!$AC$17="Moderado"),CONCATENATE("R2C",'Mapa final'!$Q$17),"")</f>
        <v/>
      </c>
      <c r="Y27" s="59" t="e">
        <f>IF(AND('Mapa final'!#REF!="Media",'Mapa final'!#REF!="Moderado"),CONCATENATE("R2C",'Mapa final'!#REF!),"")</f>
        <v>#REF!</v>
      </c>
      <c r="Z27" s="59" t="str">
        <f>IF(AND('Mapa final'!$AA$18="Media",'Mapa final'!$AC$18="Moderado"),CONCATENATE("R2C",'Mapa final'!$Q$18),"")</f>
        <v/>
      </c>
      <c r="AA27" s="60" t="e">
        <f>IF(AND('Mapa final'!#REF!="Media",'Mapa final'!#REF!="Moderado"),CONCATENATE("R2C",'Mapa final'!#REF!),"")</f>
        <v>#REF!</v>
      </c>
      <c r="AB27" s="43" t="str">
        <f>IF(AND('Mapa final'!$AA$15="Media",'Mapa final'!$AC$15="Mayor"),CONCATENATE("R2C",'Mapa final'!$Q$15),"")</f>
        <v/>
      </c>
      <c r="AC27" s="44" t="str">
        <f>IF(AND('Mapa final'!$AA$16="Media",'Mapa final'!$AC$16="Mayor"),CONCATENATE("R2C",'Mapa final'!$Q$16),"")</f>
        <v/>
      </c>
      <c r="AD27" s="44" t="str">
        <f>IF(AND('Mapa final'!$AA$17="Media",'Mapa final'!$AC$17="Mayor"),CONCATENATE("R2C",'Mapa final'!$Q$17),"")</f>
        <v/>
      </c>
      <c r="AE27" s="44" t="e">
        <f>IF(AND('Mapa final'!#REF!="Media",'Mapa final'!#REF!="Mayor"),CONCATENATE("R2C",'Mapa final'!#REF!),"")</f>
        <v>#REF!</v>
      </c>
      <c r="AF27" s="44" t="str">
        <f>IF(AND('Mapa final'!$AA$18="Media",'Mapa final'!$AC$18="Mayor"),CONCATENATE("R2C",'Mapa final'!$Q$18),"")</f>
        <v/>
      </c>
      <c r="AG27" s="45" t="e">
        <f>IF(AND('Mapa final'!#REF!="Media",'Mapa final'!#REF!="Mayor"),CONCATENATE("R2C",'Mapa final'!#REF!),"")</f>
        <v>#REF!</v>
      </c>
      <c r="AH27" s="46" t="str">
        <f>IF(AND('Mapa final'!$AA$15="Media",'Mapa final'!$AC$15="Catastrófico"),CONCATENATE("R2C",'Mapa final'!$Q$15),"")</f>
        <v/>
      </c>
      <c r="AI27" s="47" t="str">
        <f>IF(AND('Mapa final'!$AA$16="Media",'Mapa final'!$AC$16="Catastrófico"),CONCATENATE("R2C",'Mapa final'!$Q$16),"")</f>
        <v/>
      </c>
      <c r="AJ27" s="47" t="str">
        <f>IF(AND('Mapa final'!$AA$17="Media",'Mapa final'!$AC$17="Catastrófico"),CONCATENATE("R2C",'Mapa final'!$Q$17),"")</f>
        <v/>
      </c>
      <c r="AK27" s="47" t="e">
        <f>IF(AND('Mapa final'!#REF!="Media",'Mapa final'!#REF!="Catastrófico"),CONCATENATE("R2C",'Mapa final'!#REF!),"")</f>
        <v>#REF!</v>
      </c>
      <c r="AL27" s="47" t="str">
        <f>IF(AND('Mapa final'!$AA$18="Media",'Mapa final'!$AC$18="Catastrófico"),CONCATENATE("R2C",'Mapa final'!$Q$18),"")</f>
        <v/>
      </c>
      <c r="AM27" s="48" t="e">
        <f>IF(AND('Mapa final'!#REF!="Media",'Mapa final'!#REF!="Catastrófico"),CONCATENATE("R2C",'Mapa final'!#REF!),"")</f>
        <v>#REF!</v>
      </c>
      <c r="AN27" s="74"/>
      <c r="AO27" s="434"/>
      <c r="AP27" s="435"/>
      <c r="AQ27" s="435"/>
      <c r="AR27" s="435"/>
      <c r="AS27" s="435"/>
      <c r="AT27" s="436"/>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row>
    <row r="28" spans="1:76" ht="15" customHeight="1" x14ac:dyDescent="0.25">
      <c r="A28" s="74"/>
      <c r="B28" s="306"/>
      <c r="C28" s="306"/>
      <c r="D28" s="307"/>
      <c r="E28" s="405"/>
      <c r="F28" s="404"/>
      <c r="G28" s="404"/>
      <c r="H28" s="404"/>
      <c r="I28" s="420"/>
      <c r="J28" s="58" t="e">
        <f>IF(AND('Mapa final'!#REF!="Media",'Mapa final'!#REF!="Leve"),CONCATENATE("R3C",'Mapa final'!#REF!),"")</f>
        <v>#REF!</v>
      </c>
      <c r="K28" s="59" t="e">
        <f>IF(AND('Mapa final'!#REF!="Media",'Mapa final'!#REF!="Leve"),CONCATENATE("R3C",'Mapa final'!#REF!),"")</f>
        <v>#REF!</v>
      </c>
      <c r="L28" s="59" t="e">
        <f>IF(AND('Mapa final'!#REF!="Media",'Mapa final'!#REF!="Leve"),CONCATENATE("R3C",'Mapa final'!#REF!),"")</f>
        <v>#REF!</v>
      </c>
      <c r="M28" s="59" t="e">
        <f>IF(AND('Mapa final'!#REF!="Media",'Mapa final'!#REF!="Leve"),CONCATENATE("R3C",'Mapa final'!#REF!),"")</f>
        <v>#REF!</v>
      </c>
      <c r="N28" s="59" t="str">
        <f>IF(AND('Mapa final'!$AA$19="Media",'Mapa final'!$AC$19="Leve"),CONCATENATE("R3C",'Mapa final'!$Q$19),"")</f>
        <v/>
      </c>
      <c r="O28" s="60" t="str">
        <f>IF(AND('Mapa final'!$AA$20="Media",'Mapa final'!$AC$20="Leve"),CONCATENATE("R3C",'Mapa final'!$Q$20),"")</f>
        <v/>
      </c>
      <c r="P28" s="58" t="e">
        <f>IF(AND('Mapa final'!#REF!="Media",'Mapa final'!#REF!="Menor"),CONCATENATE("R3C",'Mapa final'!#REF!),"")</f>
        <v>#REF!</v>
      </c>
      <c r="Q28" s="59" t="e">
        <f>IF(AND('Mapa final'!#REF!="Media",'Mapa final'!#REF!="Menor"),CONCATENATE("R3C",'Mapa final'!#REF!),"")</f>
        <v>#REF!</v>
      </c>
      <c r="R28" s="59" t="e">
        <f>IF(AND('Mapa final'!#REF!="Media",'Mapa final'!#REF!="Menor"),CONCATENATE("R3C",'Mapa final'!#REF!),"")</f>
        <v>#REF!</v>
      </c>
      <c r="S28" s="59" t="e">
        <f>IF(AND('Mapa final'!#REF!="Media",'Mapa final'!#REF!="Menor"),CONCATENATE("R3C",'Mapa final'!#REF!),"")</f>
        <v>#REF!</v>
      </c>
      <c r="T28" s="59" t="str">
        <f>IF(AND('Mapa final'!$AA$19="Media",'Mapa final'!$AC$19="Menor"),CONCATENATE("R3C",'Mapa final'!$Q$19),"")</f>
        <v/>
      </c>
      <c r="U28" s="60" t="str">
        <f>IF(AND('Mapa final'!$AA$20="Media",'Mapa final'!$AC$20="Menor"),CONCATENATE("R3C",'Mapa final'!$Q$20),"")</f>
        <v/>
      </c>
      <c r="V28" s="58" t="e">
        <f>IF(AND('Mapa final'!#REF!="Media",'Mapa final'!#REF!="Moderado"),CONCATENATE("R3C",'Mapa final'!#REF!),"")</f>
        <v>#REF!</v>
      </c>
      <c r="W28" s="59" t="e">
        <f>IF(AND('Mapa final'!#REF!="Media",'Mapa final'!#REF!="Moderado"),CONCATENATE("R3C",'Mapa final'!#REF!),"")</f>
        <v>#REF!</v>
      </c>
      <c r="X28" s="59" t="e">
        <f>IF(AND('Mapa final'!#REF!="Media",'Mapa final'!#REF!="Moderado"),CONCATENATE("R3C",'Mapa final'!#REF!),"")</f>
        <v>#REF!</v>
      </c>
      <c r="Y28" s="59" t="e">
        <f>IF(AND('Mapa final'!#REF!="Media",'Mapa final'!#REF!="Moderado"),CONCATENATE("R3C",'Mapa final'!#REF!),"")</f>
        <v>#REF!</v>
      </c>
      <c r="Z28" s="59" t="str">
        <f>IF(AND('Mapa final'!$AA$19="Media",'Mapa final'!$AC$19="Moderado"),CONCATENATE("R3C",'Mapa final'!$Q$19),"")</f>
        <v/>
      </c>
      <c r="AA28" s="60" t="str">
        <f>IF(AND('Mapa final'!$AA$20="Media",'Mapa final'!$AC$20="Moderado"),CONCATENATE("R3C",'Mapa final'!$Q$20),"")</f>
        <v/>
      </c>
      <c r="AB28" s="43" t="e">
        <f>IF(AND('Mapa final'!#REF!="Media",'Mapa final'!#REF!="Mayor"),CONCATENATE("R3C",'Mapa final'!#REF!),"")</f>
        <v>#REF!</v>
      </c>
      <c r="AC28" s="44" t="e">
        <f>IF(AND('Mapa final'!#REF!="Media",'Mapa final'!#REF!="Mayor"),CONCATENATE("R3C",'Mapa final'!#REF!),"")</f>
        <v>#REF!</v>
      </c>
      <c r="AD28" s="44" t="e">
        <f>IF(AND('Mapa final'!#REF!="Media",'Mapa final'!#REF!="Mayor"),CONCATENATE("R3C",'Mapa final'!#REF!),"")</f>
        <v>#REF!</v>
      </c>
      <c r="AE28" s="44" t="e">
        <f>IF(AND('Mapa final'!#REF!="Media",'Mapa final'!#REF!="Mayor"),CONCATENATE("R3C",'Mapa final'!#REF!),"")</f>
        <v>#REF!</v>
      </c>
      <c r="AF28" s="44" t="str">
        <f>IF(AND('Mapa final'!$AA$19="Media",'Mapa final'!$AC$19="Mayor"),CONCATENATE("R3C",'Mapa final'!$Q$19),"")</f>
        <v/>
      </c>
      <c r="AG28" s="45" t="str">
        <f>IF(AND('Mapa final'!$AA$20="Media",'Mapa final'!$AC$20="Mayor"),CONCATENATE("R3C",'Mapa final'!$Q$20),"")</f>
        <v/>
      </c>
      <c r="AH28" s="46" t="e">
        <f>IF(AND('Mapa final'!#REF!="Media",'Mapa final'!#REF!="Catastrófico"),CONCATENATE("R3C",'Mapa final'!#REF!),"")</f>
        <v>#REF!</v>
      </c>
      <c r="AI28" s="47" t="e">
        <f>IF(AND('Mapa final'!#REF!="Media",'Mapa final'!#REF!="Catastrófico"),CONCATENATE("R3C",'Mapa final'!#REF!),"")</f>
        <v>#REF!</v>
      </c>
      <c r="AJ28" s="47" t="e">
        <f>IF(AND('Mapa final'!#REF!="Media",'Mapa final'!#REF!="Catastrófico"),CONCATENATE("R3C",'Mapa final'!#REF!),"")</f>
        <v>#REF!</v>
      </c>
      <c r="AK28" s="47" t="e">
        <f>IF(AND('Mapa final'!#REF!="Media",'Mapa final'!#REF!="Catastrófico"),CONCATENATE("R3C",'Mapa final'!#REF!),"")</f>
        <v>#REF!</v>
      </c>
      <c r="AL28" s="47" t="str">
        <f>IF(AND('Mapa final'!$AA$19="Media",'Mapa final'!$AC$19="Catastrófico"),CONCATENATE("R3C",'Mapa final'!$Q$19),"")</f>
        <v/>
      </c>
      <c r="AM28" s="48" t="str">
        <f>IF(AND('Mapa final'!$AA$20="Media",'Mapa final'!$AC$20="Catastrófico"),CONCATENATE("R3C",'Mapa final'!$Q$20),"")</f>
        <v/>
      </c>
      <c r="AN28" s="74"/>
      <c r="AO28" s="434"/>
      <c r="AP28" s="435"/>
      <c r="AQ28" s="435"/>
      <c r="AR28" s="435"/>
      <c r="AS28" s="435"/>
      <c r="AT28" s="436"/>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row>
    <row r="29" spans="1:76" ht="15" customHeight="1" x14ac:dyDescent="0.25">
      <c r="A29" s="74"/>
      <c r="B29" s="306"/>
      <c r="C29" s="306"/>
      <c r="D29" s="307"/>
      <c r="E29" s="405"/>
      <c r="F29" s="404"/>
      <c r="G29" s="404"/>
      <c r="H29" s="404"/>
      <c r="I29" s="420"/>
      <c r="J29" s="58" t="e">
        <f>IF(AND('Mapa final'!#REF!="Media",'Mapa final'!#REF!="Leve"),CONCATENATE("R4C",'Mapa final'!#REF!),"")</f>
        <v>#REF!</v>
      </c>
      <c r="K29" s="59" t="e">
        <f>IF(AND('Mapa final'!#REF!="Media",'Mapa final'!#REF!="Leve"),CONCATENATE("R4C",'Mapa final'!#REF!),"")</f>
        <v>#REF!</v>
      </c>
      <c r="L29" s="59" t="str">
        <f>IF(AND('Mapa final'!$AA$23="Media",'Mapa final'!$AC$23="Leve"),CONCATENATE("R4C",'Mapa final'!$Q$23),"")</f>
        <v/>
      </c>
      <c r="M29" s="59" t="str">
        <f>IF(AND('Mapa final'!$AA$24="Media",'Mapa final'!$AC$24="Leve"),CONCATENATE("R4C",'Mapa final'!$Q$24),"")</f>
        <v/>
      </c>
      <c r="N29" s="59" t="e">
        <f>IF(AND('Mapa final'!#REF!="Media",'Mapa final'!#REF!="Leve"),CONCATENATE("R4C",'Mapa final'!#REF!),"")</f>
        <v>#REF!</v>
      </c>
      <c r="O29" s="60" t="str">
        <f>IF(AND('Mapa final'!$AA$25="Media",'Mapa final'!$AC$25="Leve"),CONCATENATE("R4C",'Mapa final'!$Q$25),"")</f>
        <v/>
      </c>
      <c r="P29" s="58" t="e">
        <f>IF(AND('Mapa final'!#REF!="Media",'Mapa final'!#REF!="Menor"),CONCATENATE("R4C",'Mapa final'!#REF!),"")</f>
        <v>#REF!</v>
      </c>
      <c r="Q29" s="59" t="e">
        <f>IF(AND('Mapa final'!#REF!="Media",'Mapa final'!#REF!="Menor"),CONCATENATE("R4C",'Mapa final'!#REF!),"")</f>
        <v>#REF!</v>
      </c>
      <c r="R29" s="59" t="str">
        <f>IF(AND('Mapa final'!$AA$23="Media",'Mapa final'!$AC$23="Menor"),CONCATENATE("R4C",'Mapa final'!$Q$23),"")</f>
        <v/>
      </c>
      <c r="S29" s="59" t="str">
        <f>IF(AND('Mapa final'!$AA$24="Media",'Mapa final'!$AC$24="Menor"),CONCATENATE("R4C",'Mapa final'!$Q$24),"")</f>
        <v/>
      </c>
      <c r="T29" s="59" t="e">
        <f>IF(AND('Mapa final'!#REF!="Media",'Mapa final'!#REF!="Menor"),CONCATENATE("R4C",'Mapa final'!#REF!),"")</f>
        <v>#REF!</v>
      </c>
      <c r="U29" s="60" t="str">
        <f>IF(AND('Mapa final'!$AA$25="Media",'Mapa final'!$AC$25="Menor"),CONCATENATE("R4C",'Mapa final'!$Q$25),"")</f>
        <v/>
      </c>
      <c r="V29" s="58" t="e">
        <f>IF(AND('Mapa final'!#REF!="Media",'Mapa final'!#REF!="Moderado"),CONCATENATE("R4C",'Mapa final'!#REF!),"")</f>
        <v>#REF!</v>
      </c>
      <c r="W29" s="59" t="e">
        <f>IF(AND('Mapa final'!#REF!="Media",'Mapa final'!#REF!="Moderado"),CONCATENATE("R4C",'Mapa final'!#REF!),"")</f>
        <v>#REF!</v>
      </c>
      <c r="X29" s="59" t="str">
        <f>IF(AND('Mapa final'!$AA$23="Media",'Mapa final'!$AC$23="Moderado"),CONCATENATE("R4C",'Mapa final'!$Q$23),"")</f>
        <v/>
      </c>
      <c r="Y29" s="59" t="str">
        <f>IF(AND('Mapa final'!$AA$24="Media",'Mapa final'!$AC$24="Moderado"),CONCATENATE("R4C",'Mapa final'!$Q$24),"")</f>
        <v/>
      </c>
      <c r="Z29" s="59" t="e">
        <f>IF(AND('Mapa final'!#REF!="Media",'Mapa final'!#REF!="Moderado"),CONCATENATE("R4C",'Mapa final'!#REF!),"")</f>
        <v>#REF!</v>
      </c>
      <c r="AA29" s="60" t="str">
        <f>IF(AND('Mapa final'!$AA$25="Media",'Mapa final'!$AC$25="Moderado"),CONCATENATE("R4C",'Mapa final'!$Q$25),"")</f>
        <v/>
      </c>
      <c r="AB29" s="43" t="e">
        <f>IF(AND('Mapa final'!#REF!="Media",'Mapa final'!#REF!="Mayor"),CONCATENATE("R4C",'Mapa final'!#REF!),"")</f>
        <v>#REF!</v>
      </c>
      <c r="AC29" s="44" t="e">
        <f>IF(AND('Mapa final'!#REF!="Media",'Mapa final'!#REF!="Mayor"),CONCATENATE("R4C",'Mapa final'!#REF!),"")</f>
        <v>#REF!</v>
      </c>
      <c r="AD29" s="44" t="str">
        <f>IF(AND('Mapa final'!$AA$23="Media",'Mapa final'!$AC$23="Mayor"),CONCATENATE("R4C",'Mapa final'!$Q$23),"")</f>
        <v/>
      </c>
      <c r="AE29" s="44" t="str">
        <f>IF(AND('Mapa final'!$AA$24="Media",'Mapa final'!$AC$24="Mayor"),CONCATENATE("R4C",'Mapa final'!$Q$24),"")</f>
        <v>R4C1</v>
      </c>
      <c r="AF29" s="44" t="e">
        <f>IF(AND('Mapa final'!#REF!="Media",'Mapa final'!#REF!="Mayor"),CONCATENATE("R4C",'Mapa final'!#REF!),"")</f>
        <v>#REF!</v>
      </c>
      <c r="AG29" s="45" t="str">
        <f>IF(AND('Mapa final'!$AA$25="Media",'Mapa final'!$AC$25="Mayor"),CONCATENATE("R4C",'Mapa final'!$Q$25),"")</f>
        <v/>
      </c>
      <c r="AH29" s="46" t="e">
        <f>IF(AND('Mapa final'!#REF!="Media",'Mapa final'!#REF!="Catastrófico"),CONCATENATE("R4C",'Mapa final'!#REF!),"")</f>
        <v>#REF!</v>
      </c>
      <c r="AI29" s="47" t="e">
        <f>IF(AND('Mapa final'!#REF!="Media",'Mapa final'!#REF!="Catastrófico"),CONCATENATE("R4C",'Mapa final'!#REF!),"")</f>
        <v>#REF!</v>
      </c>
      <c r="AJ29" s="47" t="str">
        <f>IF(AND('Mapa final'!$AA$23="Media",'Mapa final'!$AC$23="Catastrófico"),CONCATENATE("R4C",'Mapa final'!$Q$23),"")</f>
        <v/>
      </c>
      <c r="AK29" s="47" t="str">
        <f>IF(AND('Mapa final'!$AA$24="Media",'Mapa final'!$AC$24="Catastrófico"),CONCATENATE("R4C",'Mapa final'!$Q$24),"")</f>
        <v/>
      </c>
      <c r="AL29" s="47" t="e">
        <f>IF(AND('Mapa final'!#REF!="Media",'Mapa final'!#REF!="Catastrófico"),CONCATENATE("R4C",'Mapa final'!#REF!),"")</f>
        <v>#REF!</v>
      </c>
      <c r="AM29" s="48" t="str">
        <f>IF(AND('Mapa final'!$AA$25="Media",'Mapa final'!$AC$25="Catastrófico"),CONCATENATE("R4C",'Mapa final'!$Q$25),"")</f>
        <v/>
      </c>
      <c r="AN29" s="74"/>
      <c r="AO29" s="434"/>
      <c r="AP29" s="435"/>
      <c r="AQ29" s="435"/>
      <c r="AR29" s="435"/>
      <c r="AS29" s="435"/>
      <c r="AT29" s="436"/>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row>
    <row r="30" spans="1:76" ht="15" customHeight="1" x14ac:dyDescent="0.25">
      <c r="A30" s="74"/>
      <c r="B30" s="306"/>
      <c r="C30" s="306"/>
      <c r="D30" s="307"/>
      <c r="E30" s="405"/>
      <c r="F30" s="404"/>
      <c r="G30" s="404"/>
      <c r="H30" s="404"/>
      <c r="I30" s="420"/>
      <c r="J30" s="58" t="e">
        <f>IF(AND('Mapa final'!#REF!="Media",'Mapa final'!#REF!="Leve"),CONCATENATE("R5C",'Mapa final'!#REF!),"")</f>
        <v>#REF!</v>
      </c>
      <c r="K30" s="59" t="str">
        <f>IF(AND('Mapa final'!$AA$26="Media",'Mapa final'!$AC$26="Leve"),CONCATENATE("R5C",'Mapa final'!$Q$26),"")</f>
        <v/>
      </c>
      <c r="L30" s="59" t="str">
        <f>IF(AND('Mapa final'!$AA$27="Media",'Mapa final'!$AC$27="Leve"),CONCATENATE("R5C",'Mapa final'!$Q$27),"")</f>
        <v/>
      </c>
      <c r="M30" s="59" t="str">
        <f>IF(AND('Mapa final'!$AA$28="Media",'Mapa final'!$AC$28="Leve"),CONCATENATE("R5C",'Mapa final'!$Q$28),"")</f>
        <v/>
      </c>
      <c r="N30" s="59" t="str">
        <f>IF(AND('Mapa final'!$AA$29="Media",'Mapa final'!$AC$29="Leve"),CONCATENATE("R5C",'Mapa final'!$Q$29),"")</f>
        <v/>
      </c>
      <c r="O30" s="60" t="str">
        <f>IF(AND('Mapa final'!$AA$30="Media",'Mapa final'!$AC$30="Leve"),CONCATENATE("R5C",'Mapa final'!$Q$30),"")</f>
        <v/>
      </c>
      <c r="P30" s="58" t="e">
        <f>IF(AND('Mapa final'!#REF!="Media",'Mapa final'!#REF!="Menor"),CONCATENATE("R5C",'Mapa final'!#REF!),"")</f>
        <v>#REF!</v>
      </c>
      <c r="Q30" s="59" t="str">
        <f>IF(AND('Mapa final'!$AA$26="Media",'Mapa final'!$AC$26="Menor"),CONCATENATE("R5C",'Mapa final'!$Q$26),"")</f>
        <v/>
      </c>
      <c r="R30" s="59" t="str">
        <f>IF(AND('Mapa final'!$AA$27="Media",'Mapa final'!$AC$27="Menor"),CONCATENATE("R5C",'Mapa final'!$Q$27),"")</f>
        <v/>
      </c>
      <c r="S30" s="59" t="str">
        <f>IF(AND('Mapa final'!$AA$28="Media",'Mapa final'!$AC$28="Menor"),CONCATENATE("R5C",'Mapa final'!$Q$28),"")</f>
        <v/>
      </c>
      <c r="T30" s="59" t="str">
        <f>IF(AND('Mapa final'!$AA$29="Media",'Mapa final'!$AC$29="Menor"),CONCATENATE("R5C",'Mapa final'!$Q$29),"")</f>
        <v/>
      </c>
      <c r="U30" s="60" t="str">
        <f>IF(AND('Mapa final'!$AA$30="Media",'Mapa final'!$AC$30="Menor"),CONCATENATE("R5C",'Mapa final'!$Q$30),"")</f>
        <v/>
      </c>
      <c r="V30" s="58" t="e">
        <f>IF(AND('Mapa final'!#REF!="Media",'Mapa final'!#REF!="Moderado"),CONCATENATE("R5C",'Mapa final'!#REF!),"")</f>
        <v>#REF!</v>
      </c>
      <c r="W30" s="59" t="str">
        <f>IF(AND('Mapa final'!$AA$26="Media",'Mapa final'!$AC$26="Moderado"),CONCATENATE("R5C",'Mapa final'!$Q$26),"")</f>
        <v/>
      </c>
      <c r="X30" s="59" t="str">
        <f>IF(AND('Mapa final'!$AA$27="Media",'Mapa final'!$AC$27="Moderado"),CONCATENATE("R5C",'Mapa final'!$Q$27),"")</f>
        <v/>
      </c>
      <c r="Y30" s="59" t="str">
        <f>IF(AND('Mapa final'!$AA$28="Media",'Mapa final'!$AC$28="Moderado"),CONCATENATE("R5C",'Mapa final'!$Q$28),"")</f>
        <v/>
      </c>
      <c r="Z30" s="59" t="str">
        <f>IF(AND('Mapa final'!$AA$29="Media",'Mapa final'!$AC$29="Moderado"),CONCATENATE("R5C",'Mapa final'!$Q$29),"")</f>
        <v/>
      </c>
      <c r="AA30" s="60" t="str">
        <f>IF(AND('Mapa final'!$AA$30="Media",'Mapa final'!$AC$30="Moderado"),CONCATENATE("R5C",'Mapa final'!$Q$30),"")</f>
        <v/>
      </c>
      <c r="AB30" s="43" t="e">
        <f>IF(AND('Mapa final'!#REF!="Media",'Mapa final'!#REF!="Mayor"),CONCATENATE("R5C",'Mapa final'!#REF!),"")</f>
        <v>#REF!</v>
      </c>
      <c r="AC30" s="44" t="str">
        <f>IF(AND('Mapa final'!$AA$26="Media",'Mapa final'!$AC$26="Mayor"),CONCATENATE("R5C",'Mapa final'!$Q$26),"")</f>
        <v/>
      </c>
      <c r="AD30" s="44" t="str">
        <f>IF(AND('Mapa final'!$AA$27="Media",'Mapa final'!$AC$27="Mayor"),CONCATENATE("R5C",'Mapa final'!$Q$27),"")</f>
        <v/>
      </c>
      <c r="AE30" s="44" t="str">
        <f>IF(AND('Mapa final'!$AA$28="Media",'Mapa final'!$AC$28="Mayor"),CONCATENATE("R5C",'Mapa final'!$Q$28),"")</f>
        <v/>
      </c>
      <c r="AF30" s="44" t="str">
        <f>IF(AND('Mapa final'!$AA$29="Media",'Mapa final'!$AC$29="Mayor"),CONCATENATE("R5C",'Mapa final'!$Q$29),"")</f>
        <v/>
      </c>
      <c r="AG30" s="45" t="str">
        <f>IF(AND('Mapa final'!$AA$30="Media",'Mapa final'!$AC$30="Mayor"),CONCATENATE("R5C",'Mapa final'!$Q$30),"")</f>
        <v/>
      </c>
      <c r="AH30" s="46" t="e">
        <f>IF(AND('Mapa final'!#REF!="Media",'Mapa final'!#REF!="Catastrófico"),CONCATENATE("R5C",'Mapa final'!#REF!),"")</f>
        <v>#REF!</v>
      </c>
      <c r="AI30" s="47" t="str">
        <f>IF(AND('Mapa final'!$AA$26="Media",'Mapa final'!$AC$26="Catastrófico"),CONCATENATE("R5C",'Mapa final'!$Q$26),"")</f>
        <v/>
      </c>
      <c r="AJ30" s="47" t="str">
        <f>IF(AND('Mapa final'!$AA$27="Media",'Mapa final'!$AC$27="Catastrófico"),CONCATENATE("R5C",'Mapa final'!$Q$27),"")</f>
        <v/>
      </c>
      <c r="AK30" s="47" t="str">
        <f>IF(AND('Mapa final'!$AA$28="Media",'Mapa final'!$AC$28="Catastrófico"),CONCATENATE("R5C",'Mapa final'!$Q$28),"")</f>
        <v/>
      </c>
      <c r="AL30" s="47" t="str">
        <f>IF(AND('Mapa final'!$AA$29="Media",'Mapa final'!$AC$29="Catastrófico"),CONCATENATE("R5C",'Mapa final'!$Q$29),"")</f>
        <v/>
      </c>
      <c r="AM30" s="48" t="str">
        <f>IF(AND('Mapa final'!$AA$30="Media",'Mapa final'!$AC$30="Catastrófico"),CONCATENATE("R5C",'Mapa final'!$Q$30),"")</f>
        <v/>
      </c>
      <c r="AN30" s="74"/>
      <c r="AO30" s="434"/>
      <c r="AP30" s="435"/>
      <c r="AQ30" s="435"/>
      <c r="AR30" s="435"/>
      <c r="AS30" s="435"/>
      <c r="AT30" s="436"/>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row>
    <row r="31" spans="1:76" ht="15" customHeight="1" x14ac:dyDescent="0.25">
      <c r="A31" s="74"/>
      <c r="B31" s="306"/>
      <c r="C31" s="306"/>
      <c r="D31" s="307"/>
      <c r="E31" s="405"/>
      <c r="F31" s="404"/>
      <c r="G31" s="404"/>
      <c r="H31" s="404"/>
      <c r="I31" s="420"/>
      <c r="J31" s="58" t="str">
        <f>IF(AND('Mapa final'!$AA$32="Media",'Mapa final'!$AC$32="Leve"),CONCATENATE("R6C",'Mapa final'!$Q$32),"")</f>
        <v/>
      </c>
      <c r="K31" s="59" t="e">
        <f>IF(AND('Mapa final'!#REF!="Media",'Mapa final'!#REF!="Leve"),CONCATENATE("R6C",'Mapa final'!#REF!),"")</f>
        <v>#REF!</v>
      </c>
      <c r="L31" s="59" t="e">
        <f>IF(AND('Mapa final'!#REF!="Media",'Mapa final'!#REF!="Leve"),CONCATENATE("R6C",'Mapa final'!#REF!),"")</f>
        <v>#REF!</v>
      </c>
      <c r="M31" s="59" t="e">
        <f>IF(AND('Mapa final'!#REF!="Media",'Mapa final'!#REF!="Leve"),CONCATENATE("R6C",'Mapa final'!#REF!),"")</f>
        <v>#REF!</v>
      </c>
      <c r="N31" s="59" t="str">
        <f>IF(AND('Mapa final'!$AA$34="Media",'Mapa final'!$AC$34="Leve"),CONCATENATE("R6C",'Mapa final'!$Q$34),"")</f>
        <v/>
      </c>
      <c r="O31" s="60" t="e">
        <f>IF(AND('Mapa final'!#REF!="Media",'Mapa final'!#REF!="Leve"),CONCATENATE("R6C",'Mapa final'!#REF!),"")</f>
        <v>#REF!</v>
      </c>
      <c r="P31" s="58" t="str">
        <f>IF(AND('Mapa final'!$AA$32="Media",'Mapa final'!$AC$32="Menor"),CONCATENATE("R6C",'Mapa final'!$Q$32),"")</f>
        <v/>
      </c>
      <c r="Q31" s="59" t="e">
        <f>IF(AND('Mapa final'!#REF!="Media",'Mapa final'!#REF!="Menor"),CONCATENATE("R6C",'Mapa final'!#REF!),"")</f>
        <v>#REF!</v>
      </c>
      <c r="R31" s="59" t="e">
        <f>IF(AND('Mapa final'!#REF!="Media",'Mapa final'!#REF!="Menor"),CONCATENATE("R6C",'Mapa final'!#REF!),"")</f>
        <v>#REF!</v>
      </c>
      <c r="S31" s="59" t="e">
        <f>IF(AND('Mapa final'!#REF!="Media",'Mapa final'!#REF!="Menor"),CONCATENATE("R6C",'Mapa final'!#REF!),"")</f>
        <v>#REF!</v>
      </c>
      <c r="T31" s="59" t="str">
        <f>IF(AND('Mapa final'!$AA$34="Media",'Mapa final'!$AC$34="Menor"),CONCATENATE("R6C",'Mapa final'!$Q$34),"")</f>
        <v/>
      </c>
      <c r="U31" s="60" t="e">
        <f>IF(AND('Mapa final'!#REF!="Media",'Mapa final'!#REF!="Menor"),CONCATENATE("R6C",'Mapa final'!#REF!),"")</f>
        <v>#REF!</v>
      </c>
      <c r="V31" s="58" t="str">
        <f>IF(AND('Mapa final'!$AA$32="Media",'Mapa final'!$AC$32="Moderado"),CONCATENATE("R6C",'Mapa final'!$Q$32),"")</f>
        <v/>
      </c>
      <c r="W31" s="59" t="e">
        <f>IF(AND('Mapa final'!#REF!="Media",'Mapa final'!#REF!="Moderado"),CONCATENATE("R6C",'Mapa final'!#REF!),"")</f>
        <v>#REF!</v>
      </c>
      <c r="X31" s="59" t="e">
        <f>IF(AND('Mapa final'!#REF!="Media",'Mapa final'!#REF!="Moderado"),CONCATENATE("R6C",'Mapa final'!#REF!),"")</f>
        <v>#REF!</v>
      </c>
      <c r="Y31" s="59" t="e">
        <f>IF(AND('Mapa final'!#REF!="Media",'Mapa final'!#REF!="Moderado"),CONCATENATE("R6C",'Mapa final'!#REF!),"")</f>
        <v>#REF!</v>
      </c>
      <c r="Z31" s="59" t="str">
        <f>IF(AND('Mapa final'!$AA$34="Media",'Mapa final'!$AC$34="Moderado"),CONCATENATE("R6C",'Mapa final'!$Q$34),"")</f>
        <v/>
      </c>
      <c r="AA31" s="60" t="e">
        <f>IF(AND('Mapa final'!#REF!="Media",'Mapa final'!#REF!="Moderado"),CONCATENATE("R6C",'Mapa final'!#REF!),"")</f>
        <v>#REF!</v>
      </c>
      <c r="AB31" s="43" t="str">
        <f>IF(AND('Mapa final'!$AA$32="Media",'Mapa final'!$AC$32="Mayor"),CONCATENATE("R6C",'Mapa final'!$Q$32),"")</f>
        <v/>
      </c>
      <c r="AC31" s="44" t="e">
        <f>IF(AND('Mapa final'!#REF!="Media",'Mapa final'!#REF!="Mayor"),CONCATENATE("R6C",'Mapa final'!#REF!),"")</f>
        <v>#REF!</v>
      </c>
      <c r="AD31" s="44" t="e">
        <f>IF(AND('Mapa final'!#REF!="Media",'Mapa final'!#REF!="Mayor"),CONCATENATE("R6C",'Mapa final'!#REF!),"")</f>
        <v>#REF!</v>
      </c>
      <c r="AE31" s="44" t="e">
        <f>IF(AND('Mapa final'!#REF!="Media",'Mapa final'!#REF!="Mayor"),CONCATENATE("R6C",'Mapa final'!#REF!),"")</f>
        <v>#REF!</v>
      </c>
      <c r="AF31" s="44" t="str">
        <f>IF(AND('Mapa final'!$AA$34="Media",'Mapa final'!$AC$34="Mayor"),CONCATENATE("R6C",'Mapa final'!$Q$34),"")</f>
        <v/>
      </c>
      <c r="AG31" s="45" t="e">
        <f>IF(AND('Mapa final'!#REF!="Media",'Mapa final'!#REF!="Mayor"),CONCATENATE("R6C",'Mapa final'!#REF!),"")</f>
        <v>#REF!</v>
      </c>
      <c r="AH31" s="46" t="str">
        <f>IF(AND('Mapa final'!$AA$32="Media",'Mapa final'!$AC$32="Catastrófico"),CONCATENATE("R6C",'Mapa final'!$Q$32),"")</f>
        <v/>
      </c>
      <c r="AI31" s="47" t="e">
        <f>IF(AND('Mapa final'!#REF!="Media",'Mapa final'!#REF!="Catastrófico"),CONCATENATE("R6C",'Mapa final'!#REF!),"")</f>
        <v>#REF!</v>
      </c>
      <c r="AJ31" s="47" t="e">
        <f>IF(AND('Mapa final'!#REF!="Media",'Mapa final'!#REF!="Catastrófico"),CONCATENATE("R6C",'Mapa final'!#REF!),"")</f>
        <v>#REF!</v>
      </c>
      <c r="AK31" s="47" t="e">
        <f>IF(AND('Mapa final'!#REF!="Media",'Mapa final'!#REF!="Catastrófico"),CONCATENATE("R6C",'Mapa final'!#REF!),"")</f>
        <v>#REF!</v>
      </c>
      <c r="AL31" s="47" t="str">
        <f>IF(AND('Mapa final'!$AA$34="Media",'Mapa final'!$AC$34="Catastrófico"),CONCATENATE("R6C",'Mapa final'!$Q$34),"")</f>
        <v/>
      </c>
      <c r="AM31" s="48" t="e">
        <f>IF(AND('Mapa final'!#REF!="Media",'Mapa final'!#REF!="Catastrófico"),CONCATENATE("R6C",'Mapa final'!#REF!),"")</f>
        <v>#REF!</v>
      </c>
      <c r="AN31" s="74"/>
      <c r="AO31" s="434"/>
      <c r="AP31" s="435"/>
      <c r="AQ31" s="435"/>
      <c r="AR31" s="435"/>
      <c r="AS31" s="435"/>
      <c r="AT31" s="436"/>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row>
    <row r="32" spans="1:76" ht="15" customHeight="1" x14ac:dyDescent="0.25">
      <c r="A32" s="74"/>
      <c r="B32" s="306"/>
      <c r="C32" s="306"/>
      <c r="D32" s="307"/>
      <c r="E32" s="405"/>
      <c r="F32" s="404"/>
      <c r="G32" s="404"/>
      <c r="H32" s="404"/>
      <c r="I32" s="420"/>
      <c r="J32" s="58" t="e">
        <f>IF(AND('Mapa final'!#REF!="Media",'Mapa final'!#REF!="Leve"),CONCATENATE("R7C",'Mapa final'!#REF!),"")</f>
        <v>#REF!</v>
      </c>
      <c r="K32" s="59" t="str">
        <f>IF(AND('Mapa final'!$AA$39="Media",'Mapa final'!$AC$39="Leve"),CONCATENATE("R7C",'Mapa final'!$Q$39),"")</f>
        <v/>
      </c>
      <c r="L32" s="59" t="str">
        <f>IF(AND('Mapa final'!$AA$40="Media",'Mapa final'!$AC$40="Leve"),CONCATENATE("R7C",'Mapa final'!$Q$40),"")</f>
        <v/>
      </c>
      <c r="M32" s="59" t="e">
        <f>IF(AND('Mapa final'!#REF!="Media",'Mapa final'!#REF!="Leve"),CONCATENATE("R7C",'Mapa final'!#REF!),"")</f>
        <v>#REF!</v>
      </c>
      <c r="N32" s="59" t="e">
        <f>IF(AND('Mapa final'!#REF!="Media",'Mapa final'!#REF!="Leve"),CONCATENATE("R7C",'Mapa final'!#REF!),"")</f>
        <v>#REF!</v>
      </c>
      <c r="O32" s="60" t="e">
        <f>IF(AND('Mapa final'!#REF!="Media",'Mapa final'!#REF!="Leve"),CONCATENATE("R7C",'Mapa final'!#REF!),"")</f>
        <v>#REF!</v>
      </c>
      <c r="P32" s="58" t="e">
        <f>IF(AND('Mapa final'!#REF!="Media",'Mapa final'!#REF!="Menor"),CONCATENATE("R7C",'Mapa final'!#REF!),"")</f>
        <v>#REF!</v>
      </c>
      <c r="Q32" s="59" t="str">
        <f>IF(AND('Mapa final'!$AA$39="Media",'Mapa final'!$AC$39="Menor"),CONCATENATE("R7C",'Mapa final'!$Q$39),"")</f>
        <v/>
      </c>
      <c r="R32" s="59" t="str">
        <f>IF(AND('Mapa final'!$AA$40="Media",'Mapa final'!$AC$40="Menor"),CONCATENATE("R7C",'Mapa final'!$Q$40),"")</f>
        <v/>
      </c>
      <c r="S32" s="59" t="e">
        <f>IF(AND('Mapa final'!#REF!="Media",'Mapa final'!#REF!="Menor"),CONCATENATE("R7C",'Mapa final'!#REF!),"")</f>
        <v>#REF!</v>
      </c>
      <c r="T32" s="59" t="e">
        <f>IF(AND('Mapa final'!#REF!="Media",'Mapa final'!#REF!="Menor"),CONCATENATE("R7C",'Mapa final'!#REF!),"")</f>
        <v>#REF!</v>
      </c>
      <c r="U32" s="60" t="e">
        <f>IF(AND('Mapa final'!#REF!="Media",'Mapa final'!#REF!="Menor"),CONCATENATE("R7C",'Mapa final'!#REF!),"")</f>
        <v>#REF!</v>
      </c>
      <c r="V32" s="58" t="e">
        <f>IF(AND('Mapa final'!#REF!="Media",'Mapa final'!#REF!="Moderado"),CONCATENATE("R7C",'Mapa final'!#REF!),"")</f>
        <v>#REF!</v>
      </c>
      <c r="W32" s="59" t="str">
        <f>IF(AND('Mapa final'!$AA$39="Media",'Mapa final'!$AC$39="Moderado"),CONCATENATE("R7C",'Mapa final'!$Q$39),"")</f>
        <v>R7C1</v>
      </c>
      <c r="X32" s="59" t="str">
        <f>IF(AND('Mapa final'!$AA$40="Media",'Mapa final'!$AC$40="Moderado"),CONCATENATE("R7C",'Mapa final'!$Q$40),"")</f>
        <v/>
      </c>
      <c r="Y32" s="59" t="e">
        <f>IF(AND('Mapa final'!#REF!="Media",'Mapa final'!#REF!="Moderado"),CONCATENATE("R7C",'Mapa final'!#REF!),"")</f>
        <v>#REF!</v>
      </c>
      <c r="Z32" s="59" t="e">
        <f>IF(AND('Mapa final'!#REF!="Media",'Mapa final'!#REF!="Moderado"),CONCATENATE("R7C",'Mapa final'!#REF!),"")</f>
        <v>#REF!</v>
      </c>
      <c r="AA32" s="60" t="e">
        <f>IF(AND('Mapa final'!#REF!="Media",'Mapa final'!#REF!="Moderado"),CONCATENATE("R7C",'Mapa final'!#REF!),"")</f>
        <v>#REF!</v>
      </c>
      <c r="AB32" s="43" t="e">
        <f>IF(AND('Mapa final'!#REF!="Media",'Mapa final'!#REF!="Mayor"),CONCATENATE("R7C",'Mapa final'!#REF!),"")</f>
        <v>#REF!</v>
      </c>
      <c r="AC32" s="44" t="str">
        <f>IF(AND('Mapa final'!$AA$39="Media",'Mapa final'!$AC$39="Mayor"),CONCATENATE("R7C",'Mapa final'!$Q$39),"")</f>
        <v/>
      </c>
      <c r="AD32" s="44" t="str">
        <f>IF(AND('Mapa final'!$AA$40="Media",'Mapa final'!$AC$40="Mayor"),CONCATENATE("R7C",'Mapa final'!$Q$40),"")</f>
        <v/>
      </c>
      <c r="AE32" s="44" t="e">
        <f>IF(AND('Mapa final'!#REF!="Media",'Mapa final'!#REF!="Mayor"),CONCATENATE("R7C",'Mapa final'!#REF!),"")</f>
        <v>#REF!</v>
      </c>
      <c r="AF32" s="44" t="e">
        <f>IF(AND('Mapa final'!#REF!="Media",'Mapa final'!#REF!="Mayor"),CONCATENATE("R7C",'Mapa final'!#REF!),"")</f>
        <v>#REF!</v>
      </c>
      <c r="AG32" s="45" t="e">
        <f>IF(AND('Mapa final'!#REF!="Media",'Mapa final'!#REF!="Mayor"),CONCATENATE("R7C",'Mapa final'!#REF!),"")</f>
        <v>#REF!</v>
      </c>
      <c r="AH32" s="46" t="e">
        <f>IF(AND('Mapa final'!#REF!="Media",'Mapa final'!#REF!="Catastrófico"),CONCATENATE("R7C",'Mapa final'!#REF!),"")</f>
        <v>#REF!</v>
      </c>
      <c r="AI32" s="47" t="str">
        <f>IF(AND('Mapa final'!$AA$39="Media",'Mapa final'!$AC$39="Catastrófico"),CONCATENATE("R7C",'Mapa final'!$Q$39),"")</f>
        <v/>
      </c>
      <c r="AJ32" s="47" t="str">
        <f>IF(AND('Mapa final'!$AA$40="Media",'Mapa final'!$AC$40="Catastrófico"),CONCATENATE("R7C",'Mapa final'!$Q$40),"")</f>
        <v/>
      </c>
      <c r="AK32" s="47" t="e">
        <f>IF(AND('Mapa final'!#REF!="Media",'Mapa final'!#REF!="Catastrófico"),CONCATENATE("R7C",'Mapa final'!#REF!),"")</f>
        <v>#REF!</v>
      </c>
      <c r="AL32" s="47" t="e">
        <f>IF(AND('Mapa final'!#REF!="Media",'Mapa final'!#REF!="Catastrófico"),CONCATENATE("R7C",'Mapa final'!#REF!),"")</f>
        <v>#REF!</v>
      </c>
      <c r="AM32" s="48" t="e">
        <f>IF(AND('Mapa final'!#REF!="Media",'Mapa final'!#REF!="Catastrófico"),CONCATENATE("R7C",'Mapa final'!#REF!),"")</f>
        <v>#REF!</v>
      </c>
      <c r="AN32" s="74"/>
      <c r="AO32" s="434"/>
      <c r="AP32" s="435"/>
      <c r="AQ32" s="435"/>
      <c r="AR32" s="435"/>
      <c r="AS32" s="435"/>
      <c r="AT32" s="436"/>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row>
    <row r="33" spans="1:80" ht="15" customHeight="1" x14ac:dyDescent="0.25">
      <c r="A33" s="74"/>
      <c r="B33" s="306"/>
      <c r="C33" s="306"/>
      <c r="D33" s="307"/>
      <c r="E33" s="405"/>
      <c r="F33" s="404"/>
      <c r="G33" s="404"/>
      <c r="H33" s="404"/>
      <c r="I33" s="420"/>
      <c r="J33" s="58" t="e">
        <f>IF(AND('Mapa final'!#REF!="Media",'Mapa final'!#REF!="Leve"),CONCATENATE("R8C",'Mapa final'!#REF!),"")</f>
        <v>#REF!</v>
      </c>
      <c r="K33" s="59" t="e">
        <f>IF(AND('Mapa final'!#REF!="Media",'Mapa final'!#REF!="Leve"),CONCATENATE("R8C",'Mapa final'!#REF!),"")</f>
        <v>#REF!</v>
      </c>
      <c r="L33" s="59" t="e">
        <f>IF(AND('Mapa final'!#REF!="Media",'Mapa final'!#REF!="Leve"),CONCATENATE("R8C",'Mapa final'!#REF!),"")</f>
        <v>#REF!</v>
      </c>
      <c r="M33" s="59" t="str">
        <f>IF(AND('Mapa final'!$AA$41="Media",'Mapa final'!$AC$41="Leve"),CONCATENATE("R8C",'Mapa final'!$Q$41),"")</f>
        <v/>
      </c>
      <c r="N33" s="59" t="e">
        <f>IF(AND('Mapa final'!#REF!="Media",'Mapa final'!#REF!="Leve"),CONCATENATE("R8C",'Mapa final'!#REF!),"")</f>
        <v>#REF!</v>
      </c>
      <c r="O33" s="60" t="e">
        <f>IF(AND('Mapa final'!#REF!="Media",'Mapa final'!#REF!="Leve"),CONCATENATE("R8C",'Mapa final'!#REF!),"")</f>
        <v>#REF!</v>
      </c>
      <c r="P33" s="58" t="e">
        <f>IF(AND('Mapa final'!#REF!="Media",'Mapa final'!#REF!="Menor"),CONCATENATE("R8C",'Mapa final'!#REF!),"")</f>
        <v>#REF!</v>
      </c>
      <c r="Q33" s="59" t="e">
        <f>IF(AND('Mapa final'!#REF!="Media",'Mapa final'!#REF!="Menor"),CONCATENATE("R8C",'Mapa final'!#REF!),"")</f>
        <v>#REF!</v>
      </c>
      <c r="R33" s="59" t="e">
        <f>IF(AND('Mapa final'!#REF!="Media",'Mapa final'!#REF!="Menor"),CONCATENATE("R8C",'Mapa final'!#REF!),"")</f>
        <v>#REF!</v>
      </c>
      <c r="S33" s="59" t="str">
        <f>IF(AND('Mapa final'!$AA$41="Media",'Mapa final'!$AC$41="Menor"),CONCATENATE("R8C",'Mapa final'!$Q$41),"")</f>
        <v/>
      </c>
      <c r="T33" s="59" t="e">
        <f>IF(AND('Mapa final'!#REF!="Media",'Mapa final'!#REF!="Menor"),CONCATENATE("R8C",'Mapa final'!#REF!),"")</f>
        <v>#REF!</v>
      </c>
      <c r="U33" s="60" t="e">
        <f>IF(AND('Mapa final'!#REF!="Media",'Mapa final'!#REF!="Menor"),CONCATENATE("R8C",'Mapa final'!#REF!),"")</f>
        <v>#REF!</v>
      </c>
      <c r="V33" s="58" t="e">
        <f>IF(AND('Mapa final'!#REF!="Media",'Mapa final'!#REF!="Moderado"),CONCATENATE("R8C",'Mapa final'!#REF!),"")</f>
        <v>#REF!</v>
      </c>
      <c r="W33" s="59" t="e">
        <f>IF(AND('Mapa final'!#REF!="Media",'Mapa final'!#REF!="Moderado"),CONCATENATE("R8C",'Mapa final'!#REF!),"")</f>
        <v>#REF!</v>
      </c>
      <c r="X33" s="59" t="e">
        <f>IF(AND('Mapa final'!#REF!="Media",'Mapa final'!#REF!="Moderado"),CONCATENATE("R8C",'Mapa final'!#REF!),"")</f>
        <v>#REF!</v>
      </c>
      <c r="Y33" s="59" t="str">
        <f>IF(AND('Mapa final'!$AA$41="Media",'Mapa final'!$AC$41="Moderado"),CONCATENATE("R8C",'Mapa final'!$Q$41),"")</f>
        <v/>
      </c>
      <c r="Z33" s="59" t="e">
        <f>IF(AND('Mapa final'!#REF!="Media",'Mapa final'!#REF!="Moderado"),CONCATENATE("R8C",'Mapa final'!#REF!),"")</f>
        <v>#REF!</v>
      </c>
      <c r="AA33" s="60" t="e">
        <f>IF(AND('Mapa final'!#REF!="Media",'Mapa final'!#REF!="Moderado"),CONCATENATE("R8C",'Mapa final'!#REF!),"")</f>
        <v>#REF!</v>
      </c>
      <c r="AB33" s="43" t="e">
        <f>IF(AND('Mapa final'!#REF!="Media",'Mapa final'!#REF!="Mayor"),CONCATENATE("R8C",'Mapa final'!#REF!),"")</f>
        <v>#REF!</v>
      </c>
      <c r="AC33" s="44" t="e">
        <f>IF(AND('Mapa final'!#REF!="Media",'Mapa final'!#REF!="Mayor"),CONCATENATE("R8C",'Mapa final'!#REF!),"")</f>
        <v>#REF!</v>
      </c>
      <c r="AD33" s="44" t="e">
        <f>IF(AND('Mapa final'!#REF!="Media",'Mapa final'!#REF!="Mayor"),CONCATENATE("R8C",'Mapa final'!#REF!),"")</f>
        <v>#REF!</v>
      </c>
      <c r="AE33" s="44" t="str">
        <f>IF(AND('Mapa final'!$AA$41="Media",'Mapa final'!$AC$41="Mayor"),CONCATENATE("R8C",'Mapa final'!$Q$41),"")</f>
        <v>R8C2</v>
      </c>
      <c r="AF33" s="44" t="e">
        <f>IF(AND('Mapa final'!#REF!="Media",'Mapa final'!#REF!="Mayor"),CONCATENATE("R8C",'Mapa final'!#REF!),"")</f>
        <v>#REF!</v>
      </c>
      <c r="AG33" s="45" t="e">
        <f>IF(AND('Mapa final'!#REF!="Media",'Mapa final'!#REF!="Mayor"),CONCATENATE("R8C",'Mapa final'!#REF!),"")</f>
        <v>#REF!</v>
      </c>
      <c r="AH33" s="46" t="e">
        <f>IF(AND('Mapa final'!#REF!="Media",'Mapa final'!#REF!="Catastrófico"),CONCATENATE("R8C",'Mapa final'!#REF!),"")</f>
        <v>#REF!</v>
      </c>
      <c r="AI33" s="47" t="e">
        <f>IF(AND('Mapa final'!#REF!="Media",'Mapa final'!#REF!="Catastrófico"),CONCATENATE("R8C",'Mapa final'!#REF!),"")</f>
        <v>#REF!</v>
      </c>
      <c r="AJ33" s="47" t="e">
        <f>IF(AND('Mapa final'!#REF!="Media",'Mapa final'!#REF!="Catastrófico"),CONCATENATE("R8C",'Mapa final'!#REF!),"")</f>
        <v>#REF!</v>
      </c>
      <c r="AK33" s="47" t="str">
        <f>IF(AND('Mapa final'!$AA$41="Media",'Mapa final'!$AC$41="Catastrófico"),CONCATENATE("R8C",'Mapa final'!$Q$41),"")</f>
        <v/>
      </c>
      <c r="AL33" s="47" t="e">
        <f>IF(AND('Mapa final'!#REF!="Media",'Mapa final'!#REF!="Catastrófico"),CONCATENATE("R8C",'Mapa final'!#REF!),"")</f>
        <v>#REF!</v>
      </c>
      <c r="AM33" s="48" t="e">
        <f>IF(AND('Mapa final'!#REF!="Media",'Mapa final'!#REF!="Catastrófico"),CONCATENATE("R8C",'Mapa final'!#REF!),"")</f>
        <v>#REF!</v>
      </c>
      <c r="AN33" s="74"/>
      <c r="AO33" s="434"/>
      <c r="AP33" s="435"/>
      <c r="AQ33" s="435"/>
      <c r="AR33" s="435"/>
      <c r="AS33" s="435"/>
      <c r="AT33" s="436"/>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row>
    <row r="34" spans="1:80" ht="15" customHeight="1" x14ac:dyDescent="0.25">
      <c r="A34" s="74"/>
      <c r="B34" s="306"/>
      <c r="C34" s="306"/>
      <c r="D34" s="307"/>
      <c r="E34" s="405"/>
      <c r="F34" s="404"/>
      <c r="G34" s="404"/>
      <c r="H34" s="404"/>
      <c r="I34" s="420"/>
      <c r="J34" s="58" t="str">
        <f>IF(AND('Mapa final'!$AA$42="Media",'Mapa final'!$AC$42="Leve"),CONCATENATE("R9C",'Mapa final'!$Q$42),"")</f>
        <v/>
      </c>
      <c r="K34" s="59" t="str">
        <f>IF(AND('Mapa final'!$AA$43="Media",'Mapa final'!$AC$43="Leve"),CONCATENATE("R9C",'Mapa final'!$Q$43),"")</f>
        <v/>
      </c>
      <c r="L34" s="59" t="e">
        <f>IF(AND('Mapa final'!#REF!="Media",'Mapa final'!#REF!="Leve"),CONCATENATE("R9C",'Mapa final'!#REF!),"")</f>
        <v>#REF!</v>
      </c>
      <c r="M34" s="59" t="e">
        <f>IF(AND('Mapa final'!#REF!="Media",'Mapa final'!#REF!="Leve"),CONCATENATE("R9C",'Mapa final'!#REF!),"")</f>
        <v>#REF!</v>
      </c>
      <c r="N34" s="59" t="str">
        <f>IF(AND('Mapa final'!$AA$45="Media",'Mapa final'!$AC$45="Leve"),CONCATENATE("R9C",'Mapa final'!$Q$45),"")</f>
        <v/>
      </c>
      <c r="O34" s="60" t="e">
        <f>IF(AND('Mapa final'!#REF!="Media",'Mapa final'!#REF!="Leve"),CONCATENATE("R9C",'Mapa final'!#REF!),"")</f>
        <v>#REF!</v>
      </c>
      <c r="P34" s="58" t="str">
        <f>IF(AND('Mapa final'!$AA$42="Media",'Mapa final'!$AC$42="Menor"),CONCATENATE("R9C",'Mapa final'!$Q$42),"")</f>
        <v/>
      </c>
      <c r="Q34" s="59" t="str">
        <f>IF(AND('Mapa final'!$AA$43="Media",'Mapa final'!$AC$43="Menor"),CONCATENATE("R9C",'Mapa final'!$Q$43),"")</f>
        <v/>
      </c>
      <c r="R34" s="59" t="e">
        <f>IF(AND('Mapa final'!#REF!="Media",'Mapa final'!#REF!="Menor"),CONCATENATE("R9C",'Mapa final'!#REF!),"")</f>
        <v>#REF!</v>
      </c>
      <c r="S34" s="59" t="e">
        <f>IF(AND('Mapa final'!#REF!="Media",'Mapa final'!#REF!="Menor"),CONCATENATE("R9C",'Mapa final'!#REF!),"")</f>
        <v>#REF!</v>
      </c>
      <c r="T34" s="59" t="str">
        <f>IF(AND('Mapa final'!$AA$45="Media",'Mapa final'!$AC$45="Menor"),CONCATENATE("R9C",'Mapa final'!$Q$45),"")</f>
        <v/>
      </c>
      <c r="U34" s="60" t="e">
        <f>IF(AND('Mapa final'!#REF!="Media",'Mapa final'!#REF!="Menor"),CONCATENATE("R9C",'Mapa final'!#REF!),"")</f>
        <v>#REF!</v>
      </c>
      <c r="V34" s="58" t="str">
        <f>IF(AND('Mapa final'!$AA$42="Media",'Mapa final'!$AC$42="Moderado"),CONCATENATE("R9C",'Mapa final'!$Q$42),"")</f>
        <v/>
      </c>
      <c r="W34" s="59" t="str">
        <f>IF(AND('Mapa final'!$AA$43="Media",'Mapa final'!$AC$43="Moderado"),CONCATENATE("R9C",'Mapa final'!$Q$43),"")</f>
        <v/>
      </c>
      <c r="X34" s="59" t="e">
        <f>IF(AND('Mapa final'!#REF!="Media",'Mapa final'!#REF!="Moderado"),CONCATENATE("R9C",'Mapa final'!#REF!),"")</f>
        <v>#REF!</v>
      </c>
      <c r="Y34" s="59" t="e">
        <f>IF(AND('Mapa final'!#REF!="Media",'Mapa final'!#REF!="Moderado"),CONCATENATE("R9C",'Mapa final'!#REF!),"")</f>
        <v>#REF!</v>
      </c>
      <c r="Z34" s="59" t="str">
        <f>IF(AND('Mapa final'!$AA$45="Media",'Mapa final'!$AC$45="Moderado"),CONCATENATE("R9C",'Mapa final'!$Q$45),"")</f>
        <v/>
      </c>
      <c r="AA34" s="60" t="e">
        <f>IF(AND('Mapa final'!#REF!="Media",'Mapa final'!#REF!="Moderado"),CONCATENATE("R9C",'Mapa final'!#REF!),"")</f>
        <v>#REF!</v>
      </c>
      <c r="AB34" s="43" t="str">
        <f>IF(AND('Mapa final'!$AA$42="Media",'Mapa final'!$AC$42="Mayor"),CONCATENATE("R9C",'Mapa final'!$Q$42),"")</f>
        <v/>
      </c>
      <c r="AC34" s="44" t="str">
        <f>IF(AND('Mapa final'!$AA$43="Media",'Mapa final'!$AC$43="Mayor"),CONCATENATE("R9C",'Mapa final'!$Q$43),"")</f>
        <v/>
      </c>
      <c r="AD34" s="44" t="e">
        <f>IF(AND('Mapa final'!#REF!="Media",'Mapa final'!#REF!="Mayor"),CONCATENATE("R9C",'Mapa final'!#REF!),"")</f>
        <v>#REF!</v>
      </c>
      <c r="AE34" s="44" t="e">
        <f>IF(AND('Mapa final'!#REF!="Media",'Mapa final'!#REF!="Mayor"),CONCATENATE("R9C",'Mapa final'!#REF!),"")</f>
        <v>#REF!</v>
      </c>
      <c r="AF34" s="44" t="str">
        <f>IF(AND('Mapa final'!$AA$45="Media",'Mapa final'!$AC$45="Mayor"),CONCATENATE("R9C",'Mapa final'!$Q$45),"")</f>
        <v/>
      </c>
      <c r="AG34" s="45" t="e">
        <f>IF(AND('Mapa final'!#REF!="Media",'Mapa final'!#REF!="Mayor"),CONCATENATE("R9C",'Mapa final'!#REF!),"")</f>
        <v>#REF!</v>
      </c>
      <c r="AH34" s="46" t="str">
        <f>IF(AND('Mapa final'!$AA$42="Media",'Mapa final'!$AC$42="Catastrófico"),CONCATENATE("R9C",'Mapa final'!$Q$42),"")</f>
        <v/>
      </c>
      <c r="AI34" s="47" t="str">
        <f>IF(AND('Mapa final'!$AA$43="Media",'Mapa final'!$AC$43="Catastrófico"),CONCATENATE("R9C",'Mapa final'!$Q$43),"")</f>
        <v/>
      </c>
      <c r="AJ34" s="47" t="e">
        <f>IF(AND('Mapa final'!#REF!="Media",'Mapa final'!#REF!="Catastrófico"),CONCATENATE("R9C",'Mapa final'!#REF!),"")</f>
        <v>#REF!</v>
      </c>
      <c r="AK34" s="47" t="e">
        <f>IF(AND('Mapa final'!#REF!="Media",'Mapa final'!#REF!="Catastrófico"),CONCATENATE("R9C",'Mapa final'!#REF!),"")</f>
        <v>#REF!</v>
      </c>
      <c r="AL34" s="47" t="str">
        <f>IF(AND('Mapa final'!$AA$45="Media",'Mapa final'!$AC$45="Catastrófico"),CONCATENATE("R9C",'Mapa final'!$Q$45),"")</f>
        <v/>
      </c>
      <c r="AM34" s="48" t="e">
        <f>IF(AND('Mapa final'!#REF!="Media",'Mapa final'!#REF!="Catastrófico"),CONCATENATE("R9C",'Mapa final'!#REF!),"")</f>
        <v>#REF!</v>
      </c>
      <c r="AN34" s="74"/>
      <c r="AO34" s="434"/>
      <c r="AP34" s="435"/>
      <c r="AQ34" s="435"/>
      <c r="AR34" s="435"/>
      <c r="AS34" s="435"/>
      <c r="AT34" s="436"/>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row>
    <row r="35" spans="1:80" ht="15.75" customHeight="1" thickBot="1" x14ac:dyDescent="0.3">
      <c r="A35" s="74"/>
      <c r="B35" s="306"/>
      <c r="C35" s="306"/>
      <c r="D35" s="307"/>
      <c r="E35" s="406"/>
      <c r="F35" s="407"/>
      <c r="G35" s="407"/>
      <c r="H35" s="407"/>
      <c r="I35" s="421"/>
      <c r="J35" s="58" t="e">
        <f>IF(AND('Mapa final'!#REF!="Media",'Mapa final'!#REF!="Leve"),CONCATENATE("R10C",'Mapa final'!#REF!),"")</f>
        <v>#REF!</v>
      </c>
      <c r="K35" s="59" t="str">
        <f>IF(AND('Mapa final'!$AA$46="Media",'Mapa final'!$AC$46="Leve"),CONCATENATE("R10C",'Mapa final'!$Q$46),"")</f>
        <v/>
      </c>
      <c r="L35" s="59" t="e">
        <f>IF(AND('Mapa final'!#REF!="Media",'Mapa final'!#REF!="Leve"),CONCATENATE("R10C",'Mapa final'!#REF!),"")</f>
        <v>#REF!</v>
      </c>
      <c r="M35" s="59" t="e">
        <f>IF(AND('Mapa final'!#REF!="Media",'Mapa final'!#REF!="Leve"),CONCATENATE("R10C",'Mapa final'!#REF!),"")</f>
        <v>#REF!</v>
      </c>
      <c r="N35" s="59" t="e">
        <f>IF(AND('Mapa final'!#REF!="Media",'Mapa final'!#REF!="Leve"),CONCATENATE("R10C",'Mapa final'!#REF!),"")</f>
        <v>#REF!</v>
      </c>
      <c r="O35" s="60" t="e">
        <f>IF(AND('Mapa final'!#REF!="Media",'Mapa final'!#REF!="Leve"),CONCATENATE("R10C",'Mapa final'!#REF!),"")</f>
        <v>#REF!</v>
      </c>
      <c r="P35" s="58" t="e">
        <f>IF(AND('Mapa final'!#REF!="Media",'Mapa final'!#REF!="Menor"),CONCATENATE("R10C",'Mapa final'!#REF!),"")</f>
        <v>#REF!</v>
      </c>
      <c r="Q35" s="59" t="str">
        <f>IF(AND('Mapa final'!$AA$46="Media",'Mapa final'!$AC$46="Menor"),CONCATENATE("R10C",'Mapa final'!$Q$46),"")</f>
        <v/>
      </c>
      <c r="R35" s="59" t="e">
        <f>IF(AND('Mapa final'!#REF!="Media",'Mapa final'!#REF!="Menor"),CONCATENATE("R10C",'Mapa final'!#REF!),"")</f>
        <v>#REF!</v>
      </c>
      <c r="S35" s="59" t="e">
        <f>IF(AND('Mapa final'!#REF!="Media",'Mapa final'!#REF!="Menor"),CONCATENATE("R10C",'Mapa final'!#REF!),"")</f>
        <v>#REF!</v>
      </c>
      <c r="T35" s="59" t="e">
        <f>IF(AND('Mapa final'!#REF!="Media",'Mapa final'!#REF!="Menor"),CONCATENATE("R10C",'Mapa final'!#REF!),"")</f>
        <v>#REF!</v>
      </c>
      <c r="U35" s="60" t="e">
        <f>IF(AND('Mapa final'!#REF!="Media",'Mapa final'!#REF!="Menor"),CONCATENATE("R10C",'Mapa final'!#REF!),"")</f>
        <v>#REF!</v>
      </c>
      <c r="V35" s="58" t="e">
        <f>IF(AND('Mapa final'!#REF!="Media",'Mapa final'!#REF!="Moderado"),CONCATENATE("R10C",'Mapa final'!#REF!),"")</f>
        <v>#REF!</v>
      </c>
      <c r="W35" s="59" t="str">
        <f>IF(AND('Mapa final'!$AA$46="Media",'Mapa final'!$AC$46="Moderado"),CONCATENATE("R10C",'Mapa final'!$Q$46),"")</f>
        <v/>
      </c>
      <c r="X35" s="59" t="e">
        <f>IF(AND('Mapa final'!#REF!="Media",'Mapa final'!#REF!="Moderado"),CONCATENATE("R10C",'Mapa final'!#REF!),"")</f>
        <v>#REF!</v>
      </c>
      <c r="Y35" s="59" t="e">
        <f>IF(AND('Mapa final'!#REF!="Media",'Mapa final'!#REF!="Moderado"),CONCATENATE("R10C",'Mapa final'!#REF!),"")</f>
        <v>#REF!</v>
      </c>
      <c r="Z35" s="59" t="e">
        <f>IF(AND('Mapa final'!#REF!="Media",'Mapa final'!#REF!="Moderado"),CONCATENATE("R10C",'Mapa final'!#REF!),"")</f>
        <v>#REF!</v>
      </c>
      <c r="AA35" s="60" t="e">
        <f>IF(AND('Mapa final'!#REF!="Media",'Mapa final'!#REF!="Moderado"),CONCATENATE("R10C",'Mapa final'!#REF!),"")</f>
        <v>#REF!</v>
      </c>
      <c r="AB35" s="49" t="e">
        <f>IF(AND('Mapa final'!#REF!="Media",'Mapa final'!#REF!="Mayor"),CONCATENATE("R10C",'Mapa final'!#REF!),"")</f>
        <v>#REF!</v>
      </c>
      <c r="AC35" s="50" t="str">
        <f>IF(AND('Mapa final'!$AA$46="Media",'Mapa final'!$AC$46="Mayor"),CONCATENATE("R10C",'Mapa final'!$Q$46),"")</f>
        <v/>
      </c>
      <c r="AD35" s="50" t="e">
        <f>IF(AND('Mapa final'!#REF!="Media",'Mapa final'!#REF!="Mayor"),CONCATENATE("R10C",'Mapa final'!#REF!),"")</f>
        <v>#REF!</v>
      </c>
      <c r="AE35" s="50" t="e">
        <f>IF(AND('Mapa final'!#REF!="Media",'Mapa final'!#REF!="Mayor"),CONCATENATE("R10C",'Mapa final'!#REF!),"")</f>
        <v>#REF!</v>
      </c>
      <c r="AF35" s="50" t="e">
        <f>IF(AND('Mapa final'!#REF!="Media",'Mapa final'!#REF!="Mayor"),CONCATENATE("R10C",'Mapa final'!#REF!),"")</f>
        <v>#REF!</v>
      </c>
      <c r="AG35" s="51" t="e">
        <f>IF(AND('Mapa final'!#REF!="Media",'Mapa final'!#REF!="Mayor"),CONCATENATE("R10C",'Mapa final'!#REF!),"")</f>
        <v>#REF!</v>
      </c>
      <c r="AH35" s="52" t="e">
        <f>IF(AND('Mapa final'!#REF!="Media",'Mapa final'!#REF!="Catastrófico"),CONCATENATE("R10C",'Mapa final'!#REF!),"")</f>
        <v>#REF!</v>
      </c>
      <c r="AI35" s="53" t="str">
        <f>IF(AND('Mapa final'!$AA$46="Media",'Mapa final'!$AC$46="Catastrófico"),CONCATENATE("R10C",'Mapa final'!$Q$46),"")</f>
        <v/>
      </c>
      <c r="AJ35" s="53" t="e">
        <f>IF(AND('Mapa final'!#REF!="Media",'Mapa final'!#REF!="Catastrófico"),CONCATENATE("R10C",'Mapa final'!#REF!),"")</f>
        <v>#REF!</v>
      </c>
      <c r="AK35" s="53" t="e">
        <f>IF(AND('Mapa final'!#REF!="Media",'Mapa final'!#REF!="Catastrófico"),CONCATENATE("R10C",'Mapa final'!#REF!),"")</f>
        <v>#REF!</v>
      </c>
      <c r="AL35" s="53" t="e">
        <f>IF(AND('Mapa final'!#REF!="Media",'Mapa final'!#REF!="Catastrófico"),CONCATENATE("R10C",'Mapa final'!#REF!),"")</f>
        <v>#REF!</v>
      </c>
      <c r="AM35" s="54" t="e">
        <f>IF(AND('Mapa final'!#REF!="Media",'Mapa final'!#REF!="Catastrófico"),CONCATENATE("R10C",'Mapa final'!#REF!),"")</f>
        <v>#REF!</v>
      </c>
      <c r="AN35" s="74"/>
      <c r="AO35" s="437"/>
      <c r="AP35" s="438"/>
      <c r="AQ35" s="438"/>
      <c r="AR35" s="438"/>
      <c r="AS35" s="438"/>
      <c r="AT35" s="439"/>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row>
    <row r="36" spans="1:80" ht="15" customHeight="1" x14ac:dyDescent="0.25">
      <c r="A36" s="74"/>
      <c r="B36" s="306"/>
      <c r="C36" s="306"/>
      <c r="D36" s="307"/>
      <c r="E36" s="401" t="s">
        <v>113</v>
      </c>
      <c r="F36" s="402"/>
      <c r="G36" s="402"/>
      <c r="H36" s="402"/>
      <c r="I36" s="402"/>
      <c r="J36" s="64" t="str">
        <f>IF(AND('Mapa final'!$AA$9="Baja",'Mapa final'!$AC$9="Leve"),CONCATENATE("R1C",'Mapa final'!$Q$9),"")</f>
        <v/>
      </c>
      <c r="K36" s="65" t="str">
        <f>IF(AND('Mapa final'!$AA$10="Baja",'Mapa final'!$AC$10="Leve"),CONCATENATE("R1C",'Mapa final'!$Q$10),"")</f>
        <v/>
      </c>
      <c r="L36" s="65" t="str">
        <f>IF(AND('Mapa final'!$AA$11="Baja",'Mapa final'!$AC$11="Leve"),CONCATENATE("R1C",'Mapa final'!$Q$11),"")</f>
        <v/>
      </c>
      <c r="M36" s="65" t="str">
        <f>IF(AND('Mapa final'!$AA$12="Baja",'Mapa final'!$AC$12="Leve"),CONCATENATE("R1C",'Mapa final'!$Q$12),"")</f>
        <v/>
      </c>
      <c r="N36" s="65" t="str">
        <f>IF(AND('Mapa final'!$AA$13="Baja",'Mapa final'!$AC$13="Leve"),CONCATENATE("R1C",'Mapa final'!$Q$13),"")</f>
        <v/>
      </c>
      <c r="O36" s="66" t="str">
        <f>IF(AND('Mapa final'!$AA$14="Baja",'Mapa final'!$AC$14="Leve"),CONCATENATE("R1C",'Mapa final'!$Q$14),"")</f>
        <v/>
      </c>
      <c r="P36" s="55" t="str">
        <f>IF(AND('Mapa final'!$AA$9="Baja",'Mapa final'!$AC$9="Menor"),CONCATENATE("R1C",'Mapa final'!$Q$9),"")</f>
        <v/>
      </c>
      <c r="Q36" s="56" t="str">
        <f>IF(AND('Mapa final'!$AA$10="Baja",'Mapa final'!$AC$10="Menor"),CONCATENATE("R1C",'Mapa final'!$Q$10),"")</f>
        <v/>
      </c>
      <c r="R36" s="56" t="str">
        <f>IF(AND('Mapa final'!$AA$11="Baja",'Mapa final'!$AC$11="Menor"),CONCATENATE("R1C",'Mapa final'!$Q$11),"")</f>
        <v/>
      </c>
      <c r="S36" s="56" t="str">
        <f>IF(AND('Mapa final'!$AA$12="Baja",'Mapa final'!$AC$12="Menor"),CONCATENATE("R1C",'Mapa final'!$Q$12),"")</f>
        <v/>
      </c>
      <c r="T36" s="56" t="str">
        <f>IF(AND('Mapa final'!$AA$13="Baja",'Mapa final'!$AC$13="Menor"),CONCATENATE("R1C",'Mapa final'!$Q$13),"")</f>
        <v/>
      </c>
      <c r="U36" s="57" t="str">
        <f>IF(AND('Mapa final'!$AA$14="Baja",'Mapa final'!$AC$14="Menor"),CONCATENATE("R1C",'Mapa final'!$Q$14),"")</f>
        <v/>
      </c>
      <c r="V36" s="55" t="str">
        <f>IF(AND('Mapa final'!$AA$9="Baja",'Mapa final'!$AC$9="Moderado"),CONCATENATE("R1C",'Mapa final'!$Q$9),"")</f>
        <v>R1C2</v>
      </c>
      <c r="W36" s="56" t="str">
        <f>IF(AND('Mapa final'!$AA$10="Baja",'Mapa final'!$AC$10="Moderado"),CONCATENATE("R1C",'Mapa final'!$Q$10),"")</f>
        <v/>
      </c>
      <c r="X36" s="56" t="str">
        <f>IF(AND('Mapa final'!$AA$11="Baja",'Mapa final'!$AC$11="Moderado"),CONCATENATE("R1C",'Mapa final'!$Q$11),"")</f>
        <v/>
      </c>
      <c r="Y36" s="56" t="str">
        <f>IF(AND('Mapa final'!$AA$12="Baja",'Mapa final'!$AC$12="Moderado"),CONCATENATE("R1C",'Mapa final'!$Q$12),"")</f>
        <v/>
      </c>
      <c r="Z36" s="56" t="str">
        <f>IF(AND('Mapa final'!$AA$13="Baja",'Mapa final'!$AC$13="Moderado"),CONCATENATE("R1C",'Mapa final'!$Q$13),"")</f>
        <v/>
      </c>
      <c r="AA36" s="57" t="str">
        <f>IF(AND('Mapa final'!$AA$14="Baja",'Mapa final'!$AC$14="Moderado"),CONCATENATE("R1C",'Mapa final'!$Q$14),"")</f>
        <v/>
      </c>
      <c r="AB36" s="37" t="str">
        <f>IF(AND('Mapa final'!$AA$9="Baja",'Mapa final'!$AC$9="Mayor"),CONCATENATE("R1C",'Mapa final'!$Q$9),"")</f>
        <v/>
      </c>
      <c r="AC36" s="38" t="str">
        <f>IF(AND('Mapa final'!$AA$10="Baja",'Mapa final'!$AC$10="Mayor"),CONCATENATE("R1C",'Mapa final'!$Q$10),"")</f>
        <v>R1C1</v>
      </c>
      <c r="AD36" s="38" t="str">
        <f>IF(AND('Mapa final'!$AA$11="Baja",'Mapa final'!$AC$11="Mayor"),CONCATENATE("R1C",'Mapa final'!$Q$11),"")</f>
        <v/>
      </c>
      <c r="AE36" s="38" t="str">
        <f>IF(AND('Mapa final'!$AA$12="Baja",'Mapa final'!$AC$12="Mayor"),CONCATENATE("R1C",'Mapa final'!$Q$12),"")</f>
        <v/>
      </c>
      <c r="AF36" s="38" t="str">
        <f>IF(AND('Mapa final'!$AA$13="Baja",'Mapa final'!$AC$13="Mayor"),CONCATENATE("R1C",'Mapa final'!$Q$13),"")</f>
        <v/>
      </c>
      <c r="AG36" s="39" t="str">
        <f>IF(AND('Mapa final'!$AA$14="Baja",'Mapa final'!$AC$14="Mayor"),CONCATENATE("R1C",'Mapa final'!$Q$14),"")</f>
        <v/>
      </c>
      <c r="AH36" s="40" t="str">
        <f>IF(AND('Mapa final'!$AA$9="Baja",'Mapa final'!$AC$9="Catastrófico"),CONCATENATE("R1C",'Mapa final'!$Q$9),"")</f>
        <v/>
      </c>
      <c r="AI36" s="41" t="str">
        <f>IF(AND('Mapa final'!$AA$10="Baja",'Mapa final'!$AC$10="Catastrófico"),CONCATENATE("R1C",'Mapa final'!$Q$10),"")</f>
        <v/>
      </c>
      <c r="AJ36" s="41" t="str">
        <f>IF(AND('Mapa final'!$AA$11="Baja",'Mapa final'!$AC$11="Catastrófico"),CONCATENATE("R1C",'Mapa final'!$Q$11),"")</f>
        <v/>
      </c>
      <c r="AK36" s="41" t="str">
        <f>IF(AND('Mapa final'!$AA$12="Baja",'Mapa final'!$AC$12="Catastrófico"),CONCATENATE("R1C",'Mapa final'!$Q$12),"")</f>
        <v/>
      </c>
      <c r="AL36" s="41" t="str">
        <f>IF(AND('Mapa final'!$AA$13="Baja",'Mapa final'!$AC$13="Catastrófico"),CONCATENATE("R1C",'Mapa final'!$Q$13),"")</f>
        <v/>
      </c>
      <c r="AM36" s="42" t="str">
        <f>IF(AND('Mapa final'!$AA$14="Baja",'Mapa final'!$AC$14="Catastrófico"),CONCATENATE("R1C",'Mapa final'!$Q$14),"")</f>
        <v/>
      </c>
      <c r="AN36" s="74"/>
      <c r="AO36" s="422" t="s">
        <v>81</v>
      </c>
      <c r="AP36" s="423"/>
      <c r="AQ36" s="423"/>
      <c r="AR36" s="423"/>
      <c r="AS36" s="423"/>
      <c r="AT36" s="42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row>
    <row r="37" spans="1:80" ht="15" customHeight="1" x14ac:dyDescent="0.25">
      <c r="A37" s="74"/>
      <c r="B37" s="306"/>
      <c r="C37" s="306"/>
      <c r="D37" s="307"/>
      <c r="E37" s="403"/>
      <c r="F37" s="404"/>
      <c r="G37" s="404"/>
      <c r="H37" s="404"/>
      <c r="I37" s="404"/>
      <c r="J37" s="67" t="str">
        <f>IF(AND('Mapa final'!$AA$15="Baja",'Mapa final'!$AC$15="Leve"),CONCATENATE("R2C",'Mapa final'!$Q$15),"")</f>
        <v/>
      </c>
      <c r="K37" s="68" t="str">
        <f>IF(AND('Mapa final'!$AA$16="Baja",'Mapa final'!$AC$16="Leve"),CONCATENATE("R2C",'Mapa final'!$Q$16),"")</f>
        <v/>
      </c>
      <c r="L37" s="68" t="str">
        <f>IF(AND('Mapa final'!$AA$17="Baja",'Mapa final'!$AC$17="Leve"),CONCATENATE("R2C",'Mapa final'!$Q$17),"")</f>
        <v/>
      </c>
      <c r="M37" s="68" t="e">
        <f>IF(AND('Mapa final'!#REF!="Baja",'Mapa final'!#REF!="Leve"),CONCATENATE("R2C",'Mapa final'!#REF!),"")</f>
        <v>#REF!</v>
      </c>
      <c r="N37" s="68" t="str">
        <f>IF(AND('Mapa final'!$AA$18="Baja",'Mapa final'!$AC$18="Leve"),CONCATENATE("R2C",'Mapa final'!$Q$18),"")</f>
        <v/>
      </c>
      <c r="O37" s="69" t="e">
        <f>IF(AND('Mapa final'!#REF!="Baja",'Mapa final'!#REF!="Leve"),CONCATENATE("R2C",'Mapa final'!#REF!),"")</f>
        <v>#REF!</v>
      </c>
      <c r="P37" s="58" t="str">
        <f>IF(AND('Mapa final'!$AA$15="Baja",'Mapa final'!$AC$15="Menor"),CONCATENATE("R2C",'Mapa final'!$Q$15),"")</f>
        <v/>
      </c>
      <c r="Q37" s="59" t="str">
        <f>IF(AND('Mapa final'!$AA$16="Baja",'Mapa final'!$AC$16="Menor"),CONCATENATE("R2C",'Mapa final'!$Q$16),"")</f>
        <v/>
      </c>
      <c r="R37" s="59" t="str">
        <f>IF(AND('Mapa final'!$AA$17="Baja",'Mapa final'!$AC$17="Menor"),CONCATENATE("R2C",'Mapa final'!$Q$17),"")</f>
        <v/>
      </c>
      <c r="S37" s="59" t="e">
        <f>IF(AND('Mapa final'!#REF!="Baja",'Mapa final'!#REF!="Menor"),CONCATENATE("R2C",'Mapa final'!#REF!),"")</f>
        <v>#REF!</v>
      </c>
      <c r="T37" s="59" t="str">
        <f>IF(AND('Mapa final'!$AA$18="Baja",'Mapa final'!$AC$18="Menor"),CONCATENATE("R2C",'Mapa final'!$Q$18),"")</f>
        <v/>
      </c>
      <c r="U37" s="60" t="e">
        <f>IF(AND('Mapa final'!#REF!="Baja",'Mapa final'!#REF!="Menor"),CONCATENATE("R2C",'Mapa final'!#REF!),"")</f>
        <v>#REF!</v>
      </c>
      <c r="V37" s="58" t="str">
        <f>IF(AND('Mapa final'!$AA$15="Baja",'Mapa final'!$AC$15="Moderado"),CONCATENATE("R2C",'Mapa final'!$Q$15),"")</f>
        <v>R2C2</v>
      </c>
      <c r="W37" s="59" t="str">
        <f>IF(AND('Mapa final'!$AA$16="Baja",'Mapa final'!$AC$16="Moderado"),CONCATENATE("R2C",'Mapa final'!$Q$16),"")</f>
        <v>R2C1</v>
      </c>
      <c r="X37" s="59" t="str">
        <f>IF(AND('Mapa final'!$AA$17="Baja",'Mapa final'!$AC$17="Moderado"),CONCATENATE("R2C",'Mapa final'!$Q$17),"")</f>
        <v/>
      </c>
      <c r="Y37" s="59" t="e">
        <f>IF(AND('Mapa final'!#REF!="Baja",'Mapa final'!#REF!="Moderado"),CONCATENATE("R2C",'Mapa final'!#REF!),"")</f>
        <v>#REF!</v>
      </c>
      <c r="Z37" s="59" t="str">
        <f>IF(AND('Mapa final'!$AA$18="Baja",'Mapa final'!$AC$18="Moderado"),CONCATENATE("R2C",'Mapa final'!$Q$18),"")</f>
        <v/>
      </c>
      <c r="AA37" s="60" t="e">
        <f>IF(AND('Mapa final'!#REF!="Baja",'Mapa final'!#REF!="Moderado"),CONCATENATE("R2C",'Mapa final'!#REF!),"")</f>
        <v>#REF!</v>
      </c>
      <c r="AB37" s="43" t="str">
        <f>IF(AND('Mapa final'!$AA$15="Baja",'Mapa final'!$AC$15="Mayor"),CONCATENATE("R2C",'Mapa final'!$Q$15),"")</f>
        <v/>
      </c>
      <c r="AC37" s="44" t="str">
        <f>IF(AND('Mapa final'!$AA$16="Baja",'Mapa final'!$AC$16="Mayor"),CONCATENATE("R2C",'Mapa final'!$Q$16),"")</f>
        <v/>
      </c>
      <c r="AD37" s="44" t="str">
        <f>IF(AND('Mapa final'!$AA$17="Baja",'Mapa final'!$AC$17="Mayor"),CONCATENATE("R2C",'Mapa final'!$Q$17),"")</f>
        <v/>
      </c>
      <c r="AE37" s="44" t="e">
        <f>IF(AND('Mapa final'!#REF!="Baja",'Mapa final'!#REF!="Mayor"),CONCATENATE("R2C",'Mapa final'!#REF!),"")</f>
        <v>#REF!</v>
      </c>
      <c r="AF37" s="44" t="str">
        <f>IF(AND('Mapa final'!$AA$18="Baja",'Mapa final'!$AC$18="Mayor"),CONCATENATE("R2C",'Mapa final'!$Q$18),"")</f>
        <v/>
      </c>
      <c r="AG37" s="45" t="e">
        <f>IF(AND('Mapa final'!#REF!="Baja",'Mapa final'!#REF!="Mayor"),CONCATENATE("R2C",'Mapa final'!#REF!),"")</f>
        <v>#REF!</v>
      </c>
      <c r="AH37" s="46" t="str">
        <f>IF(AND('Mapa final'!$AA$15="Baja",'Mapa final'!$AC$15="Catastrófico"),CONCATENATE("R2C",'Mapa final'!$Q$15),"")</f>
        <v/>
      </c>
      <c r="AI37" s="47" t="str">
        <f>IF(AND('Mapa final'!$AA$16="Baja",'Mapa final'!$AC$16="Catastrófico"),CONCATENATE("R2C",'Mapa final'!$Q$16),"")</f>
        <v/>
      </c>
      <c r="AJ37" s="47" t="str">
        <f>IF(AND('Mapa final'!$AA$17="Baja",'Mapa final'!$AC$17="Catastrófico"),CONCATENATE("R2C",'Mapa final'!$Q$17),"")</f>
        <v/>
      </c>
      <c r="AK37" s="47" t="e">
        <f>IF(AND('Mapa final'!#REF!="Baja",'Mapa final'!#REF!="Catastrófico"),CONCATENATE("R2C",'Mapa final'!#REF!),"")</f>
        <v>#REF!</v>
      </c>
      <c r="AL37" s="47" t="str">
        <f>IF(AND('Mapa final'!$AA$18="Baja",'Mapa final'!$AC$18="Catastrófico"),CONCATENATE("R2C",'Mapa final'!$Q$18),"")</f>
        <v/>
      </c>
      <c r="AM37" s="48" t="e">
        <f>IF(AND('Mapa final'!#REF!="Baja",'Mapa final'!#REF!="Catastrófico"),CONCATENATE("R2C",'Mapa final'!#REF!),"")</f>
        <v>#REF!</v>
      </c>
      <c r="AN37" s="74"/>
      <c r="AO37" s="425"/>
      <c r="AP37" s="426"/>
      <c r="AQ37" s="426"/>
      <c r="AR37" s="426"/>
      <c r="AS37" s="426"/>
      <c r="AT37" s="427"/>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row>
    <row r="38" spans="1:80" ht="15" customHeight="1" x14ac:dyDescent="0.25">
      <c r="A38" s="74"/>
      <c r="B38" s="306"/>
      <c r="C38" s="306"/>
      <c r="D38" s="307"/>
      <c r="E38" s="405"/>
      <c r="F38" s="404"/>
      <c r="G38" s="404"/>
      <c r="H38" s="404"/>
      <c r="I38" s="404"/>
      <c r="J38" s="67" t="e">
        <f>IF(AND('Mapa final'!#REF!="Baja",'Mapa final'!#REF!="Leve"),CONCATENATE("R3C",'Mapa final'!#REF!),"")</f>
        <v>#REF!</v>
      </c>
      <c r="K38" s="68" t="e">
        <f>IF(AND('Mapa final'!#REF!="Baja",'Mapa final'!#REF!="Leve"),CONCATENATE("R3C",'Mapa final'!#REF!),"")</f>
        <v>#REF!</v>
      </c>
      <c r="L38" s="68" t="e">
        <f>IF(AND('Mapa final'!#REF!="Baja",'Mapa final'!#REF!="Leve"),CONCATENATE("R3C",'Mapa final'!#REF!),"")</f>
        <v>#REF!</v>
      </c>
      <c r="M38" s="68" t="e">
        <f>IF(AND('Mapa final'!#REF!="Baja",'Mapa final'!#REF!="Leve"),CONCATENATE("R3C",'Mapa final'!#REF!),"")</f>
        <v>#REF!</v>
      </c>
      <c r="N38" s="68" t="str">
        <f>IF(AND('Mapa final'!$AA$19="Baja",'Mapa final'!$AC$19="Leve"),CONCATENATE("R3C",'Mapa final'!$Q$19),"")</f>
        <v/>
      </c>
      <c r="O38" s="69" t="str">
        <f>IF(AND('Mapa final'!$AA$20="Baja",'Mapa final'!$AC$20="Leve"),CONCATENATE("R3C",'Mapa final'!$Q$20),"")</f>
        <v/>
      </c>
      <c r="P38" s="58" t="e">
        <f>IF(AND('Mapa final'!#REF!="Baja",'Mapa final'!#REF!="Menor"),CONCATENATE("R3C",'Mapa final'!#REF!),"")</f>
        <v>#REF!</v>
      </c>
      <c r="Q38" s="59" t="e">
        <f>IF(AND('Mapa final'!#REF!="Baja",'Mapa final'!#REF!="Menor"),CONCATENATE("R3C",'Mapa final'!#REF!),"")</f>
        <v>#REF!</v>
      </c>
      <c r="R38" s="59" t="e">
        <f>IF(AND('Mapa final'!#REF!="Baja",'Mapa final'!#REF!="Menor"),CONCATENATE("R3C",'Mapa final'!#REF!),"")</f>
        <v>#REF!</v>
      </c>
      <c r="S38" s="59" t="e">
        <f>IF(AND('Mapa final'!#REF!="Baja",'Mapa final'!#REF!="Menor"),CONCATENATE("R3C",'Mapa final'!#REF!),"")</f>
        <v>#REF!</v>
      </c>
      <c r="T38" s="59" t="str">
        <f>IF(AND('Mapa final'!$AA$19="Baja",'Mapa final'!$AC$19="Menor"),CONCATENATE("R3C",'Mapa final'!$Q$19),"")</f>
        <v/>
      </c>
      <c r="U38" s="60" t="str">
        <f>IF(AND('Mapa final'!$AA$20="Baja",'Mapa final'!$AC$20="Menor"),CONCATENATE("R3C",'Mapa final'!$Q$20),"")</f>
        <v/>
      </c>
      <c r="V38" s="58" t="e">
        <f>IF(AND('Mapa final'!#REF!="Baja",'Mapa final'!#REF!="Moderado"),CONCATENATE("R3C",'Mapa final'!#REF!),"")</f>
        <v>#REF!</v>
      </c>
      <c r="W38" s="59" t="e">
        <f>IF(AND('Mapa final'!#REF!="Baja",'Mapa final'!#REF!="Moderado"),CONCATENATE("R3C",'Mapa final'!#REF!),"")</f>
        <v>#REF!</v>
      </c>
      <c r="X38" s="59" t="e">
        <f>IF(AND('Mapa final'!#REF!="Baja",'Mapa final'!#REF!="Moderado"),CONCATENATE("R3C",'Mapa final'!#REF!),"")</f>
        <v>#REF!</v>
      </c>
      <c r="Y38" s="59" t="e">
        <f>IF(AND('Mapa final'!#REF!="Baja",'Mapa final'!#REF!="Moderado"),CONCATENATE("R3C",'Mapa final'!#REF!),"")</f>
        <v>#REF!</v>
      </c>
      <c r="Z38" s="59" t="str">
        <f>IF(AND('Mapa final'!$AA$19="Baja",'Mapa final'!$AC$19="Moderado"),CONCATENATE("R3C",'Mapa final'!$Q$19),"")</f>
        <v/>
      </c>
      <c r="AA38" s="60" t="str">
        <f>IF(AND('Mapa final'!$AA$20="Baja",'Mapa final'!$AC$20="Moderado"),CONCATENATE("R3C",'Mapa final'!$Q$20),"")</f>
        <v/>
      </c>
      <c r="AB38" s="43" t="e">
        <f>IF(AND('Mapa final'!#REF!="Baja",'Mapa final'!#REF!="Mayor"),CONCATENATE("R3C",'Mapa final'!#REF!),"")</f>
        <v>#REF!</v>
      </c>
      <c r="AC38" s="44" t="e">
        <f>IF(AND('Mapa final'!#REF!="Baja",'Mapa final'!#REF!="Mayor"),CONCATENATE("R3C",'Mapa final'!#REF!),"")</f>
        <v>#REF!</v>
      </c>
      <c r="AD38" s="44" t="e">
        <f>IF(AND('Mapa final'!#REF!="Baja",'Mapa final'!#REF!="Mayor"),CONCATENATE("R3C",'Mapa final'!#REF!),"")</f>
        <v>#REF!</v>
      </c>
      <c r="AE38" s="44" t="e">
        <f>IF(AND('Mapa final'!#REF!="Baja",'Mapa final'!#REF!="Mayor"),CONCATENATE("R3C",'Mapa final'!#REF!),"")</f>
        <v>#REF!</v>
      </c>
      <c r="AF38" s="44" t="str">
        <f>IF(AND('Mapa final'!$AA$19="Baja",'Mapa final'!$AC$19="Mayor"),CONCATENATE("R3C",'Mapa final'!$Q$19),"")</f>
        <v/>
      </c>
      <c r="AG38" s="45" t="str">
        <f>IF(AND('Mapa final'!$AA$20="Baja",'Mapa final'!$AC$20="Mayor"),CONCATENATE("R3C",'Mapa final'!$Q$20),"")</f>
        <v/>
      </c>
      <c r="AH38" s="46" t="e">
        <f>IF(AND('Mapa final'!#REF!="Baja",'Mapa final'!#REF!="Catastrófico"),CONCATENATE("R3C",'Mapa final'!#REF!),"")</f>
        <v>#REF!</v>
      </c>
      <c r="AI38" s="47" t="e">
        <f>IF(AND('Mapa final'!#REF!="Baja",'Mapa final'!#REF!="Catastrófico"),CONCATENATE("R3C",'Mapa final'!#REF!),"")</f>
        <v>#REF!</v>
      </c>
      <c r="AJ38" s="47" t="e">
        <f>IF(AND('Mapa final'!#REF!="Baja",'Mapa final'!#REF!="Catastrófico"),CONCATENATE("R3C",'Mapa final'!#REF!),"")</f>
        <v>#REF!</v>
      </c>
      <c r="AK38" s="47" t="e">
        <f>IF(AND('Mapa final'!#REF!="Baja",'Mapa final'!#REF!="Catastrófico"),CONCATENATE("R3C",'Mapa final'!#REF!),"")</f>
        <v>#REF!</v>
      </c>
      <c r="AL38" s="47" t="str">
        <f>IF(AND('Mapa final'!$AA$19="Baja",'Mapa final'!$AC$19="Catastrófico"),CONCATENATE("R3C",'Mapa final'!$Q$19),"")</f>
        <v/>
      </c>
      <c r="AM38" s="48" t="str">
        <f>IF(AND('Mapa final'!$AA$20="Baja",'Mapa final'!$AC$20="Catastrófico"),CONCATENATE("R3C",'Mapa final'!$Q$20),"")</f>
        <v/>
      </c>
      <c r="AN38" s="74"/>
      <c r="AO38" s="425"/>
      <c r="AP38" s="426"/>
      <c r="AQ38" s="426"/>
      <c r="AR38" s="426"/>
      <c r="AS38" s="426"/>
      <c r="AT38" s="427"/>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row>
    <row r="39" spans="1:80" ht="15" customHeight="1" x14ac:dyDescent="0.25">
      <c r="A39" s="74"/>
      <c r="B39" s="306"/>
      <c r="C39" s="306"/>
      <c r="D39" s="307"/>
      <c r="E39" s="405"/>
      <c r="F39" s="404"/>
      <c r="G39" s="404"/>
      <c r="H39" s="404"/>
      <c r="I39" s="404"/>
      <c r="J39" s="67" t="e">
        <f>IF(AND('Mapa final'!#REF!="Baja",'Mapa final'!#REF!="Leve"),CONCATENATE("R4C",'Mapa final'!#REF!),"")</f>
        <v>#REF!</v>
      </c>
      <c r="K39" s="68" t="e">
        <f>IF(AND('Mapa final'!#REF!="Baja",'Mapa final'!#REF!="Leve"),CONCATENATE("R4C",'Mapa final'!#REF!),"")</f>
        <v>#REF!</v>
      </c>
      <c r="L39" s="68" t="str">
        <f>IF(AND('Mapa final'!$AA$23="Baja",'Mapa final'!$AC$23="Leve"),CONCATENATE("R4C",'Mapa final'!$Q$23),"")</f>
        <v/>
      </c>
      <c r="M39" s="68" t="str">
        <f>IF(AND('Mapa final'!$AA$24="Baja",'Mapa final'!$AC$24="Leve"),CONCATENATE("R4C",'Mapa final'!$Q$24),"")</f>
        <v/>
      </c>
      <c r="N39" s="68" t="e">
        <f>IF(AND('Mapa final'!#REF!="Baja",'Mapa final'!#REF!="Leve"),CONCATENATE("R4C",'Mapa final'!#REF!),"")</f>
        <v>#REF!</v>
      </c>
      <c r="O39" s="69" t="str">
        <f>IF(AND('Mapa final'!$AA$25="Baja",'Mapa final'!$AC$25="Leve"),CONCATENATE("R4C",'Mapa final'!$Q$25),"")</f>
        <v/>
      </c>
      <c r="P39" s="58" t="e">
        <f>IF(AND('Mapa final'!#REF!="Baja",'Mapa final'!#REF!="Menor"),CONCATENATE("R4C",'Mapa final'!#REF!),"")</f>
        <v>#REF!</v>
      </c>
      <c r="Q39" s="59" t="e">
        <f>IF(AND('Mapa final'!#REF!="Baja",'Mapa final'!#REF!="Menor"),CONCATENATE("R4C",'Mapa final'!#REF!),"")</f>
        <v>#REF!</v>
      </c>
      <c r="R39" s="59" t="str">
        <f>IF(AND('Mapa final'!$AA$23="Baja",'Mapa final'!$AC$23="Menor"),CONCATENATE("R4C",'Mapa final'!$Q$23),"")</f>
        <v/>
      </c>
      <c r="S39" s="59" t="str">
        <f>IF(AND('Mapa final'!$AA$24="Baja",'Mapa final'!$AC$24="Menor"),CONCATENATE("R4C",'Mapa final'!$Q$24),"")</f>
        <v/>
      </c>
      <c r="T39" s="59" t="e">
        <f>IF(AND('Mapa final'!#REF!="Baja",'Mapa final'!#REF!="Menor"),CONCATENATE("R4C",'Mapa final'!#REF!),"")</f>
        <v>#REF!</v>
      </c>
      <c r="U39" s="60" t="str">
        <f>IF(AND('Mapa final'!$AA$25="Baja",'Mapa final'!$AC$25="Menor"),CONCATENATE("R4C",'Mapa final'!$Q$25),"")</f>
        <v/>
      </c>
      <c r="V39" s="58" t="e">
        <f>IF(AND('Mapa final'!#REF!="Baja",'Mapa final'!#REF!="Moderado"),CONCATENATE("R4C",'Mapa final'!#REF!),"")</f>
        <v>#REF!</v>
      </c>
      <c r="W39" s="59" t="e">
        <f>IF(AND('Mapa final'!#REF!="Baja",'Mapa final'!#REF!="Moderado"),CONCATENATE("R4C",'Mapa final'!#REF!),"")</f>
        <v>#REF!</v>
      </c>
      <c r="X39" s="59" t="str">
        <f>IF(AND('Mapa final'!$AA$23="Baja",'Mapa final'!$AC$23="Moderado"),CONCATENATE("R4C",'Mapa final'!$Q$23),"")</f>
        <v/>
      </c>
      <c r="Y39" s="59" t="str">
        <f>IF(AND('Mapa final'!$AA$24="Baja",'Mapa final'!$AC$24="Moderado"),CONCATENATE("R4C",'Mapa final'!$Q$24),"")</f>
        <v/>
      </c>
      <c r="Z39" s="59" t="e">
        <f>IF(AND('Mapa final'!#REF!="Baja",'Mapa final'!#REF!="Moderado"),CONCATENATE("R4C",'Mapa final'!#REF!),"")</f>
        <v>#REF!</v>
      </c>
      <c r="AA39" s="60" t="str">
        <f>IF(AND('Mapa final'!$AA$25="Baja",'Mapa final'!$AC$25="Moderado"),CONCATENATE("R4C",'Mapa final'!$Q$25),"")</f>
        <v/>
      </c>
      <c r="AB39" s="43" t="e">
        <f>IF(AND('Mapa final'!#REF!="Baja",'Mapa final'!#REF!="Mayor"),CONCATENATE("R4C",'Mapa final'!#REF!),"")</f>
        <v>#REF!</v>
      </c>
      <c r="AC39" s="44" t="e">
        <f>IF(AND('Mapa final'!#REF!="Baja",'Mapa final'!#REF!="Mayor"),CONCATENATE("R4C",'Mapa final'!#REF!),"")</f>
        <v>#REF!</v>
      </c>
      <c r="AD39" s="44" t="str">
        <f>IF(AND('Mapa final'!$AA$23="Baja",'Mapa final'!$AC$23="Mayor"),CONCATENATE("R4C",'Mapa final'!$Q$23),"")</f>
        <v/>
      </c>
      <c r="AE39" s="44" t="str">
        <f>IF(AND('Mapa final'!$AA$24="Baja",'Mapa final'!$AC$24="Mayor"),CONCATENATE("R4C",'Mapa final'!$Q$24),"")</f>
        <v/>
      </c>
      <c r="AF39" s="44" t="e">
        <f>IF(AND('Mapa final'!#REF!="Baja",'Mapa final'!#REF!="Mayor"),CONCATENATE("R4C",'Mapa final'!#REF!),"")</f>
        <v>#REF!</v>
      </c>
      <c r="AG39" s="45" t="str">
        <f>IF(AND('Mapa final'!$AA$25="Baja",'Mapa final'!$AC$25="Mayor"),CONCATENATE("R4C",'Mapa final'!$Q$25),"")</f>
        <v/>
      </c>
      <c r="AH39" s="46" t="e">
        <f>IF(AND('Mapa final'!#REF!="Baja",'Mapa final'!#REF!="Catastrófico"),CONCATENATE("R4C",'Mapa final'!#REF!),"")</f>
        <v>#REF!</v>
      </c>
      <c r="AI39" s="47" t="e">
        <f>IF(AND('Mapa final'!#REF!="Baja",'Mapa final'!#REF!="Catastrófico"),CONCATENATE("R4C",'Mapa final'!#REF!),"")</f>
        <v>#REF!</v>
      </c>
      <c r="AJ39" s="47" t="str">
        <f>IF(AND('Mapa final'!$AA$23="Baja",'Mapa final'!$AC$23="Catastrófico"),CONCATENATE("R4C",'Mapa final'!$Q$23),"")</f>
        <v/>
      </c>
      <c r="AK39" s="47" t="str">
        <f>IF(AND('Mapa final'!$AA$24="Baja",'Mapa final'!$AC$24="Catastrófico"),CONCATENATE("R4C",'Mapa final'!$Q$24),"")</f>
        <v/>
      </c>
      <c r="AL39" s="47" t="e">
        <f>IF(AND('Mapa final'!#REF!="Baja",'Mapa final'!#REF!="Catastrófico"),CONCATENATE("R4C",'Mapa final'!#REF!),"")</f>
        <v>#REF!</v>
      </c>
      <c r="AM39" s="48" t="str">
        <f>IF(AND('Mapa final'!$AA$25="Baja",'Mapa final'!$AC$25="Catastrófico"),CONCATENATE("R4C",'Mapa final'!$Q$25),"")</f>
        <v>R4C1</v>
      </c>
      <c r="AN39" s="74"/>
      <c r="AO39" s="425"/>
      <c r="AP39" s="426"/>
      <c r="AQ39" s="426"/>
      <c r="AR39" s="426"/>
      <c r="AS39" s="426"/>
      <c r="AT39" s="427"/>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row>
    <row r="40" spans="1:80" ht="15" customHeight="1" x14ac:dyDescent="0.25">
      <c r="A40" s="74"/>
      <c r="B40" s="306"/>
      <c r="C40" s="306"/>
      <c r="D40" s="307"/>
      <c r="E40" s="405"/>
      <c r="F40" s="404"/>
      <c r="G40" s="404"/>
      <c r="H40" s="404"/>
      <c r="I40" s="404"/>
      <c r="J40" s="67" t="e">
        <f>IF(AND('Mapa final'!#REF!="Baja",'Mapa final'!#REF!="Leve"),CONCATENATE("R5C",'Mapa final'!#REF!),"")</f>
        <v>#REF!</v>
      </c>
      <c r="K40" s="68" t="str">
        <f>IF(AND('Mapa final'!$AA$26="Baja",'Mapa final'!$AC$26="Leve"),CONCATENATE("R5C",'Mapa final'!$Q$26),"")</f>
        <v/>
      </c>
      <c r="L40" s="68" t="str">
        <f>IF(AND('Mapa final'!$AA$27="Baja",'Mapa final'!$AC$27="Leve"),CONCATENATE("R5C",'Mapa final'!$Q$27),"")</f>
        <v/>
      </c>
      <c r="M40" s="68" t="str">
        <f>IF(AND('Mapa final'!$AA$28="Baja",'Mapa final'!$AC$28="Leve"),CONCATENATE("R5C",'Mapa final'!$Q$28),"")</f>
        <v/>
      </c>
      <c r="N40" s="68" t="str">
        <f>IF(AND('Mapa final'!$AA$29="Baja",'Mapa final'!$AC$29="Leve"),CONCATENATE("R5C",'Mapa final'!$Q$29),"")</f>
        <v/>
      </c>
      <c r="O40" s="69" t="str">
        <f>IF(AND('Mapa final'!$AA$30="Baja",'Mapa final'!$AC$30="Leve"),CONCATENATE("R5C",'Mapa final'!$Q$30),"")</f>
        <v/>
      </c>
      <c r="P40" s="58" t="e">
        <f>IF(AND('Mapa final'!#REF!="Baja",'Mapa final'!#REF!="Menor"),CONCATENATE("R5C",'Mapa final'!#REF!),"")</f>
        <v>#REF!</v>
      </c>
      <c r="Q40" s="59" t="str">
        <f>IF(AND('Mapa final'!$AA$26="Baja",'Mapa final'!$AC$26="Menor"),CONCATENATE("R5C",'Mapa final'!$Q$26),"")</f>
        <v/>
      </c>
      <c r="R40" s="59" t="str">
        <f>IF(AND('Mapa final'!$AA$27="Baja",'Mapa final'!$AC$27="Menor"),CONCATENATE("R5C",'Mapa final'!$Q$27),"")</f>
        <v/>
      </c>
      <c r="S40" s="59" t="str">
        <f>IF(AND('Mapa final'!$AA$28="Baja",'Mapa final'!$AC$28="Menor"),CONCATENATE("R5C",'Mapa final'!$Q$28),"")</f>
        <v/>
      </c>
      <c r="T40" s="59" t="str">
        <f>IF(AND('Mapa final'!$AA$29="Baja",'Mapa final'!$AC$29="Menor"),CONCATENATE("R5C",'Mapa final'!$Q$29),"")</f>
        <v/>
      </c>
      <c r="U40" s="60" t="str">
        <f>IF(AND('Mapa final'!$AA$30="Baja",'Mapa final'!$AC$30="Menor"),CONCATENATE("R5C",'Mapa final'!$Q$30),"")</f>
        <v/>
      </c>
      <c r="V40" s="58" t="e">
        <f>IF(AND('Mapa final'!#REF!="Baja",'Mapa final'!#REF!="Moderado"),CONCATENATE("R5C",'Mapa final'!#REF!),"")</f>
        <v>#REF!</v>
      </c>
      <c r="W40" s="59" t="str">
        <f>IF(AND('Mapa final'!$AA$26="Baja",'Mapa final'!$AC$26="Moderado"),CONCATENATE("R5C",'Mapa final'!$Q$26),"")</f>
        <v/>
      </c>
      <c r="X40" s="59" t="str">
        <f>IF(AND('Mapa final'!$AA$27="Baja",'Mapa final'!$AC$27="Moderado"),CONCATENATE("R5C",'Mapa final'!$Q$27),"")</f>
        <v/>
      </c>
      <c r="Y40" s="59" t="str">
        <f>IF(AND('Mapa final'!$AA$28="Baja",'Mapa final'!$AC$28="Moderado"),CONCATENATE("R5C",'Mapa final'!$Q$28),"")</f>
        <v/>
      </c>
      <c r="Z40" s="59" t="str">
        <f>IF(AND('Mapa final'!$AA$29="Baja",'Mapa final'!$AC$29="Moderado"),CONCATENATE("R5C",'Mapa final'!$Q$29),"")</f>
        <v/>
      </c>
      <c r="AA40" s="60" t="str">
        <f>IF(AND('Mapa final'!$AA$30="Baja",'Mapa final'!$AC$30="Moderado"),CONCATENATE("R5C",'Mapa final'!$Q$30),"")</f>
        <v/>
      </c>
      <c r="AB40" s="43" t="e">
        <f>IF(AND('Mapa final'!#REF!="Baja",'Mapa final'!#REF!="Mayor"),CONCATENATE("R5C",'Mapa final'!#REF!),"")</f>
        <v>#REF!</v>
      </c>
      <c r="AC40" s="44" t="str">
        <f>IF(AND('Mapa final'!$AA$26="Baja",'Mapa final'!$AC$26="Mayor"),CONCATENATE("R5C",'Mapa final'!$Q$26),"")</f>
        <v/>
      </c>
      <c r="AD40" s="44" t="str">
        <f>IF(AND('Mapa final'!$AA$27="Baja",'Mapa final'!$AC$27="Mayor"),CONCATENATE("R5C",'Mapa final'!$Q$27),"")</f>
        <v/>
      </c>
      <c r="AE40" s="44" t="str">
        <f>IF(AND('Mapa final'!$AA$28="Baja",'Mapa final'!$AC$28="Mayor"),CONCATENATE("R5C",'Mapa final'!$Q$28),"")</f>
        <v/>
      </c>
      <c r="AF40" s="44" t="str">
        <f>IF(AND('Mapa final'!$AA$29="Baja",'Mapa final'!$AC$29="Mayor"),CONCATENATE("R5C",'Mapa final'!$Q$29),"")</f>
        <v/>
      </c>
      <c r="AG40" s="45" t="str">
        <f>IF(AND('Mapa final'!$AA$30="Baja",'Mapa final'!$AC$30="Mayor"),CONCATENATE("R5C",'Mapa final'!$Q$30),"")</f>
        <v/>
      </c>
      <c r="AH40" s="46" t="e">
        <f>IF(AND('Mapa final'!#REF!="Baja",'Mapa final'!#REF!="Catastrófico"),CONCATENATE("R5C",'Mapa final'!#REF!),"")</f>
        <v>#REF!</v>
      </c>
      <c r="AI40" s="47" t="str">
        <f>IF(AND('Mapa final'!$AA$26="Baja",'Mapa final'!$AC$26="Catastrófico"),CONCATENATE("R5C",'Mapa final'!$Q$26),"")</f>
        <v/>
      </c>
      <c r="AJ40" s="47" t="str">
        <f>IF(AND('Mapa final'!$AA$27="Baja",'Mapa final'!$AC$27="Catastrófico"),CONCATENATE("R5C",'Mapa final'!$Q$27),"")</f>
        <v/>
      </c>
      <c r="AK40" s="47" t="str">
        <f>IF(AND('Mapa final'!$AA$28="Baja",'Mapa final'!$AC$28="Catastrófico"),CONCATENATE("R5C",'Mapa final'!$Q$28),"")</f>
        <v/>
      </c>
      <c r="AL40" s="47" t="str">
        <f>IF(AND('Mapa final'!$AA$29="Baja",'Mapa final'!$AC$29="Catastrófico"),CONCATENATE("R5C",'Mapa final'!$Q$29),"")</f>
        <v/>
      </c>
      <c r="AM40" s="48" t="str">
        <f>IF(AND('Mapa final'!$AA$30="Baja",'Mapa final'!$AC$30="Catastrófico"),CONCATENATE("R5C",'Mapa final'!$Q$30),"")</f>
        <v/>
      </c>
      <c r="AN40" s="74"/>
      <c r="AO40" s="425"/>
      <c r="AP40" s="426"/>
      <c r="AQ40" s="426"/>
      <c r="AR40" s="426"/>
      <c r="AS40" s="426"/>
      <c r="AT40" s="427"/>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row>
    <row r="41" spans="1:80" ht="15" customHeight="1" x14ac:dyDescent="0.25">
      <c r="A41" s="74"/>
      <c r="B41" s="306"/>
      <c r="C41" s="306"/>
      <c r="D41" s="307"/>
      <c r="E41" s="405"/>
      <c r="F41" s="404"/>
      <c r="G41" s="404"/>
      <c r="H41" s="404"/>
      <c r="I41" s="404"/>
      <c r="J41" s="67" t="str">
        <f>IF(AND('Mapa final'!$AA$32="Baja",'Mapa final'!$AC$32="Leve"),CONCATENATE("R6C",'Mapa final'!$Q$32),"")</f>
        <v/>
      </c>
      <c r="K41" s="68" t="e">
        <f>IF(AND('Mapa final'!#REF!="Baja",'Mapa final'!#REF!="Leve"),CONCATENATE("R6C",'Mapa final'!#REF!),"")</f>
        <v>#REF!</v>
      </c>
      <c r="L41" s="68" t="e">
        <f>IF(AND('Mapa final'!#REF!="Baja",'Mapa final'!#REF!="Leve"),CONCATENATE("R6C",'Mapa final'!#REF!),"")</f>
        <v>#REF!</v>
      </c>
      <c r="M41" s="68" t="e">
        <f>IF(AND('Mapa final'!#REF!="Baja",'Mapa final'!#REF!="Leve"),CONCATENATE("R6C",'Mapa final'!#REF!),"")</f>
        <v>#REF!</v>
      </c>
      <c r="N41" s="68" t="str">
        <f>IF(AND('Mapa final'!$AA$34="Baja",'Mapa final'!$AC$34="Leve"),CONCATENATE("R6C",'Mapa final'!$Q$34),"")</f>
        <v/>
      </c>
      <c r="O41" s="69" t="e">
        <f>IF(AND('Mapa final'!#REF!="Baja",'Mapa final'!#REF!="Leve"),CONCATENATE("R6C",'Mapa final'!#REF!),"")</f>
        <v>#REF!</v>
      </c>
      <c r="P41" s="58" t="str">
        <f>IF(AND('Mapa final'!$AA$32="Baja",'Mapa final'!$AC$32="Menor"),CONCATENATE("R6C",'Mapa final'!$Q$32),"")</f>
        <v/>
      </c>
      <c r="Q41" s="59" t="e">
        <f>IF(AND('Mapa final'!#REF!="Baja",'Mapa final'!#REF!="Menor"),CONCATENATE("R6C",'Mapa final'!#REF!),"")</f>
        <v>#REF!</v>
      </c>
      <c r="R41" s="59" t="e">
        <f>IF(AND('Mapa final'!#REF!="Baja",'Mapa final'!#REF!="Menor"),CONCATENATE("R6C",'Mapa final'!#REF!),"")</f>
        <v>#REF!</v>
      </c>
      <c r="S41" s="59" t="e">
        <f>IF(AND('Mapa final'!#REF!="Baja",'Mapa final'!#REF!="Menor"),CONCATENATE("R6C",'Mapa final'!#REF!),"")</f>
        <v>#REF!</v>
      </c>
      <c r="T41" s="59" t="str">
        <f>IF(AND('Mapa final'!$AA$34="Baja",'Mapa final'!$AC$34="Menor"),CONCATENATE("R6C",'Mapa final'!$Q$34),"")</f>
        <v/>
      </c>
      <c r="U41" s="60" t="e">
        <f>IF(AND('Mapa final'!#REF!="Baja",'Mapa final'!#REF!="Menor"),CONCATENATE("R6C",'Mapa final'!#REF!),"")</f>
        <v>#REF!</v>
      </c>
      <c r="V41" s="58" t="str">
        <f>IF(AND('Mapa final'!$AA$32="Baja",'Mapa final'!$AC$32="Moderado"),CONCATENATE("R6C",'Mapa final'!$Q$32),"")</f>
        <v>R6C1</v>
      </c>
      <c r="W41" s="59" t="e">
        <f>IF(AND('Mapa final'!#REF!="Baja",'Mapa final'!#REF!="Moderado"),CONCATENATE("R6C",'Mapa final'!#REF!),"")</f>
        <v>#REF!</v>
      </c>
      <c r="X41" s="59" t="e">
        <f>IF(AND('Mapa final'!#REF!="Baja",'Mapa final'!#REF!="Moderado"),CONCATENATE("R6C",'Mapa final'!#REF!),"")</f>
        <v>#REF!</v>
      </c>
      <c r="Y41" s="59" t="e">
        <f>IF(AND('Mapa final'!#REF!="Baja",'Mapa final'!#REF!="Moderado"),CONCATENATE("R6C",'Mapa final'!#REF!),"")</f>
        <v>#REF!</v>
      </c>
      <c r="Z41" s="59" t="str">
        <f>IF(AND('Mapa final'!$AA$34="Baja",'Mapa final'!$AC$34="Moderado"),CONCATENATE("R6C",'Mapa final'!$Q$34),"")</f>
        <v>R6C1</v>
      </c>
      <c r="AA41" s="60" t="e">
        <f>IF(AND('Mapa final'!#REF!="Baja",'Mapa final'!#REF!="Moderado"),CONCATENATE("R6C",'Mapa final'!#REF!),"")</f>
        <v>#REF!</v>
      </c>
      <c r="AB41" s="43" t="str">
        <f>IF(AND('Mapa final'!$AA$32="Baja",'Mapa final'!$AC$32="Mayor"),CONCATENATE("R6C",'Mapa final'!$Q$32),"")</f>
        <v/>
      </c>
      <c r="AC41" s="44" t="e">
        <f>IF(AND('Mapa final'!#REF!="Baja",'Mapa final'!#REF!="Mayor"),CONCATENATE("R6C",'Mapa final'!#REF!),"")</f>
        <v>#REF!</v>
      </c>
      <c r="AD41" s="44" t="e">
        <f>IF(AND('Mapa final'!#REF!="Baja",'Mapa final'!#REF!="Mayor"),CONCATENATE("R6C",'Mapa final'!#REF!),"")</f>
        <v>#REF!</v>
      </c>
      <c r="AE41" s="44" t="e">
        <f>IF(AND('Mapa final'!#REF!="Baja",'Mapa final'!#REF!="Mayor"),CONCATENATE("R6C",'Mapa final'!#REF!),"")</f>
        <v>#REF!</v>
      </c>
      <c r="AF41" s="44" t="str">
        <f>IF(AND('Mapa final'!$AA$34="Baja",'Mapa final'!$AC$34="Mayor"),CONCATENATE("R6C",'Mapa final'!$Q$34),"")</f>
        <v/>
      </c>
      <c r="AG41" s="45" t="e">
        <f>IF(AND('Mapa final'!#REF!="Baja",'Mapa final'!#REF!="Mayor"),CONCATENATE("R6C",'Mapa final'!#REF!),"")</f>
        <v>#REF!</v>
      </c>
      <c r="AH41" s="46" t="str">
        <f>IF(AND('Mapa final'!$AA$32="Baja",'Mapa final'!$AC$32="Catastrófico"),CONCATENATE("R6C",'Mapa final'!$Q$32),"")</f>
        <v/>
      </c>
      <c r="AI41" s="47" t="e">
        <f>IF(AND('Mapa final'!#REF!="Baja",'Mapa final'!#REF!="Catastrófico"),CONCATENATE("R6C",'Mapa final'!#REF!),"")</f>
        <v>#REF!</v>
      </c>
      <c r="AJ41" s="47" t="e">
        <f>IF(AND('Mapa final'!#REF!="Baja",'Mapa final'!#REF!="Catastrófico"),CONCATENATE("R6C",'Mapa final'!#REF!),"")</f>
        <v>#REF!</v>
      </c>
      <c r="AK41" s="47" t="e">
        <f>IF(AND('Mapa final'!#REF!="Baja",'Mapa final'!#REF!="Catastrófico"),CONCATENATE("R6C",'Mapa final'!#REF!),"")</f>
        <v>#REF!</v>
      </c>
      <c r="AL41" s="47" t="str">
        <f>IF(AND('Mapa final'!$AA$34="Baja",'Mapa final'!$AC$34="Catastrófico"),CONCATENATE("R6C",'Mapa final'!$Q$34),"")</f>
        <v/>
      </c>
      <c r="AM41" s="48" t="e">
        <f>IF(AND('Mapa final'!#REF!="Baja",'Mapa final'!#REF!="Catastrófico"),CONCATENATE("R6C",'Mapa final'!#REF!),"")</f>
        <v>#REF!</v>
      </c>
      <c r="AN41" s="74"/>
      <c r="AO41" s="425"/>
      <c r="AP41" s="426"/>
      <c r="AQ41" s="426"/>
      <c r="AR41" s="426"/>
      <c r="AS41" s="426"/>
      <c r="AT41" s="427"/>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row>
    <row r="42" spans="1:80" ht="15" customHeight="1" x14ac:dyDescent="0.25">
      <c r="A42" s="74"/>
      <c r="B42" s="306"/>
      <c r="C42" s="306"/>
      <c r="D42" s="307"/>
      <c r="E42" s="405"/>
      <c r="F42" s="404"/>
      <c r="G42" s="404"/>
      <c r="H42" s="404"/>
      <c r="I42" s="404"/>
      <c r="J42" s="67" t="e">
        <f>IF(AND('Mapa final'!#REF!="Baja",'Mapa final'!#REF!="Leve"),CONCATENATE("R7C",'Mapa final'!#REF!),"")</f>
        <v>#REF!</v>
      </c>
      <c r="K42" s="68" t="str">
        <f>IF(AND('Mapa final'!$AA$39="Baja",'Mapa final'!$AC$39="Leve"),CONCATENATE("R7C",'Mapa final'!$Q$39),"")</f>
        <v/>
      </c>
      <c r="L42" s="68" t="str">
        <f>IF(AND('Mapa final'!$AA$40="Baja",'Mapa final'!$AC$40="Leve"),CONCATENATE("R7C",'Mapa final'!$Q$40),"")</f>
        <v/>
      </c>
      <c r="M42" s="68" t="e">
        <f>IF(AND('Mapa final'!#REF!="Baja",'Mapa final'!#REF!="Leve"),CONCATENATE("R7C",'Mapa final'!#REF!),"")</f>
        <v>#REF!</v>
      </c>
      <c r="N42" s="68" t="e">
        <f>IF(AND('Mapa final'!#REF!="Baja",'Mapa final'!#REF!="Leve"),CONCATENATE("R7C",'Mapa final'!#REF!),"")</f>
        <v>#REF!</v>
      </c>
      <c r="O42" s="69" t="e">
        <f>IF(AND('Mapa final'!#REF!="Baja",'Mapa final'!#REF!="Leve"),CONCATENATE("R7C",'Mapa final'!#REF!),"")</f>
        <v>#REF!</v>
      </c>
      <c r="P42" s="58" t="e">
        <f>IF(AND('Mapa final'!#REF!="Baja",'Mapa final'!#REF!="Menor"),CONCATENATE("R7C",'Mapa final'!#REF!),"")</f>
        <v>#REF!</v>
      </c>
      <c r="Q42" s="59" t="str">
        <f>IF(AND('Mapa final'!$AA$39="Baja",'Mapa final'!$AC$39="Menor"),CONCATENATE("R7C",'Mapa final'!$Q$39),"")</f>
        <v/>
      </c>
      <c r="R42" s="59" t="str">
        <f>IF(AND('Mapa final'!$AA$40="Baja",'Mapa final'!$AC$40="Menor"),CONCATENATE("R7C",'Mapa final'!$Q$40),"")</f>
        <v/>
      </c>
      <c r="S42" s="59" t="e">
        <f>IF(AND('Mapa final'!#REF!="Baja",'Mapa final'!#REF!="Menor"),CONCATENATE("R7C",'Mapa final'!#REF!),"")</f>
        <v>#REF!</v>
      </c>
      <c r="T42" s="59" t="e">
        <f>IF(AND('Mapa final'!#REF!="Baja",'Mapa final'!#REF!="Menor"),CONCATENATE("R7C",'Mapa final'!#REF!),"")</f>
        <v>#REF!</v>
      </c>
      <c r="U42" s="60" t="e">
        <f>IF(AND('Mapa final'!#REF!="Baja",'Mapa final'!#REF!="Menor"),CONCATENATE("R7C",'Mapa final'!#REF!),"")</f>
        <v>#REF!</v>
      </c>
      <c r="V42" s="58" t="e">
        <f>IF(AND('Mapa final'!#REF!="Baja",'Mapa final'!#REF!="Moderado"),CONCATENATE("R7C",'Mapa final'!#REF!),"")</f>
        <v>#REF!</v>
      </c>
      <c r="W42" s="59" t="str">
        <f>IF(AND('Mapa final'!$AA$39="Baja",'Mapa final'!$AC$39="Moderado"),CONCATENATE("R7C",'Mapa final'!$Q$39),"")</f>
        <v/>
      </c>
      <c r="X42" s="59" t="str">
        <f>IF(AND('Mapa final'!$AA$40="Baja",'Mapa final'!$AC$40="Moderado"),CONCATENATE("R7C",'Mapa final'!$Q$40),"")</f>
        <v>R7C1</v>
      </c>
      <c r="Y42" s="59" t="e">
        <f>IF(AND('Mapa final'!#REF!="Baja",'Mapa final'!#REF!="Moderado"),CONCATENATE("R7C",'Mapa final'!#REF!),"")</f>
        <v>#REF!</v>
      </c>
      <c r="Z42" s="59" t="e">
        <f>IF(AND('Mapa final'!#REF!="Baja",'Mapa final'!#REF!="Moderado"),CONCATENATE("R7C",'Mapa final'!#REF!),"")</f>
        <v>#REF!</v>
      </c>
      <c r="AA42" s="60" t="e">
        <f>IF(AND('Mapa final'!#REF!="Baja",'Mapa final'!#REF!="Moderado"),CONCATENATE("R7C",'Mapa final'!#REF!),"")</f>
        <v>#REF!</v>
      </c>
      <c r="AB42" s="43" t="e">
        <f>IF(AND('Mapa final'!#REF!="Baja",'Mapa final'!#REF!="Mayor"),CONCATENATE("R7C",'Mapa final'!#REF!),"")</f>
        <v>#REF!</v>
      </c>
      <c r="AC42" s="44" t="str">
        <f>IF(AND('Mapa final'!$AA$39="Baja",'Mapa final'!$AC$39="Mayor"),CONCATENATE("R7C",'Mapa final'!$Q$39),"")</f>
        <v/>
      </c>
      <c r="AD42" s="44" t="str">
        <f>IF(AND('Mapa final'!$AA$40="Baja",'Mapa final'!$AC$40="Mayor"),CONCATENATE("R7C",'Mapa final'!$Q$40),"")</f>
        <v/>
      </c>
      <c r="AE42" s="44" t="e">
        <f>IF(AND('Mapa final'!#REF!="Baja",'Mapa final'!#REF!="Mayor"),CONCATENATE("R7C",'Mapa final'!#REF!),"")</f>
        <v>#REF!</v>
      </c>
      <c r="AF42" s="44" t="e">
        <f>IF(AND('Mapa final'!#REF!="Baja",'Mapa final'!#REF!="Mayor"),CONCATENATE("R7C",'Mapa final'!#REF!),"")</f>
        <v>#REF!</v>
      </c>
      <c r="AG42" s="45" t="e">
        <f>IF(AND('Mapa final'!#REF!="Baja",'Mapa final'!#REF!="Mayor"),CONCATENATE("R7C",'Mapa final'!#REF!),"")</f>
        <v>#REF!</v>
      </c>
      <c r="AH42" s="46" t="e">
        <f>IF(AND('Mapa final'!#REF!="Baja",'Mapa final'!#REF!="Catastrófico"),CONCATENATE("R7C",'Mapa final'!#REF!),"")</f>
        <v>#REF!</v>
      </c>
      <c r="AI42" s="47" t="str">
        <f>IF(AND('Mapa final'!$AA$39="Baja",'Mapa final'!$AC$39="Catastrófico"),CONCATENATE("R7C",'Mapa final'!$Q$39),"")</f>
        <v/>
      </c>
      <c r="AJ42" s="47" t="str">
        <f>IF(AND('Mapa final'!$AA$40="Baja",'Mapa final'!$AC$40="Catastrófico"),CONCATENATE("R7C",'Mapa final'!$Q$40),"")</f>
        <v/>
      </c>
      <c r="AK42" s="47" t="e">
        <f>IF(AND('Mapa final'!#REF!="Baja",'Mapa final'!#REF!="Catastrófico"),CONCATENATE("R7C",'Mapa final'!#REF!),"")</f>
        <v>#REF!</v>
      </c>
      <c r="AL42" s="47" t="e">
        <f>IF(AND('Mapa final'!#REF!="Baja",'Mapa final'!#REF!="Catastrófico"),CONCATENATE("R7C",'Mapa final'!#REF!),"")</f>
        <v>#REF!</v>
      </c>
      <c r="AM42" s="48" t="e">
        <f>IF(AND('Mapa final'!#REF!="Baja",'Mapa final'!#REF!="Catastrófico"),CONCATENATE("R7C",'Mapa final'!#REF!),"")</f>
        <v>#REF!</v>
      </c>
      <c r="AN42" s="74"/>
      <c r="AO42" s="425"/>
      <c r="AP42" s="426"/>
      <c r="AQ42" s="426"/>
      <c r="AR42" s="426"/>
      <c r="AS42" s="426"/>
      <c r="AT42" s="427"/>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row>
    <row r="43" spans="1:80" ht="15" customHeight="1" x14ac:dyDescent="0.25">
      <c r="A43" s="74"/>
      <c r="B43" s="306"/>
      <c r="C43" s="306"/>
      <c r="D43" s="307"/>
      <c r="E43" s="405"/>
      <c r="F43" s="404"/>
      <c r="G43" s="404"/>
      <c r="H43" s="404"/>
      <c r="I43" s="404"/>
      <c r="J43" s="67" t="e">
        <f>IF(AND('Mapa final'!#REF!="Baja",'Mapa final'!#REF!="Leve"),CONCATENATE("R8C",'Mapa final'!#REF!),"")</f>
        <v>#REF!</v>
      </c>
      <c r="K43" s="68" t="e">
        <f>IF(AND('Mapa final'!#REF!="Baja",'Mapa final'!#REF!="Leve"),CONCATENATE("R8C",'Mapa final'!#REF!),"")</f>
        <v>#REF!</v>
      </c>
      <c r="L43" s="68" t="e">
        <f>IF(AND('Mapa final'!#REF!="Baja",'Mapa final'!#REF!="Leve"),CONCATENATE("R8C",'Mapa final'!#REF!),"")</f>
        <v>#REF!</v>
      </c>
      <c r="M43" s="68" t="str">
        <f>IF(AND('Mapa final'!$AA$41="Baja",'Mapa final'!$AC$41="Leve"),CONCATENATE("R8C",'Mapa final'!$Q$41),"")</f>
        <v/>
      </c>
      <c r="N43" s="68" t="e">
        <f>IF(AND('Mapa final'!#REF!="Baja",'Mapa final'!#REF!="Leve"),CONCATENATE("R8C",'Mapa final'!#REF!),"")</f>
        <v>#REF!</v>
      </c>
      <c r="O43" s="69" t="e">
        <f>IF(AND('Mapa final'!#REF!="Baja",'Mapa final'!#REF!="Leve"),CONCATENATE("R8C",'Mapa final'!#REF!),"")</f>
        <v>#REF!</v>
      </c>
      <c r="P43" s="58" t="e">
        <f>IF(AND('Mapa final'!#REF!="Baja",'Mapa final'!#REF!="Menor"),CONCATENATE("R8C",'Mapa final'!#REF!),"")</f>
        <v>#REF!</v>
      </c>
      <c r="Q43" s="59" t="e">
        <f>IF(AND('Mapa final'!#REF!="Baja",'Mapa final'!#REF!="Menor"),CONCATENATE("R8C",'Mapa final'!#REF!),"")</f>
        <v>#REF!</v>
      </c>
      <c r="R43" s="59" t="e">
        <f>IF(AND('Mapa final'!#REF!="Baja",'Mapa final'!#REF!="Menor"),CONCATENATE("R8C",'Mapa final'!#REF!),"")</f>
        <v>#REF!</v>
      </c>
      <c r="S43" s="59" t="str">
        <f>IF(AND('Mapa final'!$AA$41="Baja",'Mapa final'!$AC$41="Menor"),CONCATENATE("R8C",'Mapa final'!$Q$41),"")</f>
        <v/>
      </c>
      <c r="T43" s="59" t="e">
        <f>IF(AND('Mapa final'!#REF!="Baja",'Mapa final'!#REF!="Menor"),CONCATENATE("R8C",'Mapa final'!#REF!),"")</f>
        <v>#REF!</v>
      </c>
      <c r="U43" s="60" t="e">
        <f>IF(AND('Mapa final'!#REF!="Baja",'Mapa final'!#REF!="Menor"),CONCATENATE("R8C",'Mapa final'!#REF!),"")</f>
        <v>#REF!</v>
      </c>
      <c r="V43" s="58" t="e">
        <f>IF(AND('Mapa final'!#REF!="Baja",'Mapa final'!#REF!="Moderado"),CONCATENATE("R8C",'Mapa final'!#REF!),"")</f>
        <v>#REF!</v>
      </c>
      <c r="W43" s="59" t="e">
        <f>IF(AND('Mapa final'!#REF!="Baja",'Mapa final'!#REF!="Moderado"),CONCATENATE("R8C",'Mapa final'!#REF!),"")</f>
        <v>#REF!</v>
      </c>
      <c r="X43" s="59" t="e">
        <f>IF(AND('Mapa final'!#REF!="Baja",'Mapa final'!#REF!="Moderado"),CONCATENATE("R8C",'Mapa final'!#REF!),"")</f>
        <v>#REF!</v>
      </c>
      <c r="Y43" s="59" t="str">
        <f>IF(AND('Mapa final'!$AA$41="Baja",'Mapa final'!$AC$41="Moderado"),CONCATENATE("R8C",'Mapa final'!$Q$41),"")</f>
        <v/>
      </c>
      <c r="Z43" s="59" t="e">
        <f>IF(AND('Mapa final'!#REF!="Baja",'Mapa final'!#REF!="Moderado"),CONCATENATE("R8C",'Mapa final'!#REF!),"")</f>
        <v>#REF!</v>
      </c>
      <c r="AA43" s="60" t="e">
        <f>IF(AND('Mapa final'!#REF!="Baja",'Mapa final'!#REF!="Moderado"),CONCATENATE("R8C",'Mapa final'!#REF!),"")</f>
        <v>#REF!</v>
      </c>
      <c r="AB43" s="43" t="e">
        <f>IF(AND('Mapa final'!#REF!="Baja",'Mapa final'!#REF!="Mayor"),CONCATENATE("R8C",'Mapa final'!#REF!),"")</f>
        <v>#REF!</v>
      </c>
      <c r="AC43" s="44" t="e">
        <f>IF(AND('Mapa final'!#REF!="Baja",'Mapa final'!#REF!="Mayor"),CONCATENATE("R8C",'Mapa final'!#REF!),"")</f>
        <v>#REF!</v>
      </c>
      <c r="AD43" s="44" t="e">
        <f>IF(AND('Mapa final'!#REF!="Baja",'Mapa final'!#REF!="Mayor"),CONCATENATE("R8C",'Mapa final'!#REF!),"")</f>
        <v>#REF!</v>
      </c>
      <c r="AE43" s="44" t="str">
        <f>IF(AND('Mapa final'!$AA$41="Baja",'Mapa final'!$AC$41="Mayor"),CONCATENATE("R8C",'Mapa final'!$Q$41),"")</f>
        <v/>
      </c>
      <c r="AF43" s="44" t="e">
        <f>IF(AND('Mapa final'!#REF!="Baja",'Mapa final'!#REF!="Mayor"),CONCATENATE("R8C",'Mapa final'!#REF!),"")</f>
        <v>#REF!</v>
      </c>
      <c r="AG43" s="45" t="e">
        <f>IF(AND('Mapa final'!#REF!="Baja",'Mapa final'!#REF!="Mayor"),CONCATENATE("R8C",'Mapa final'!#REF!),"")</f>
        <v>#REF!</v>
      </c>
      <c r="AH43" s="46" t="e">
        <f>IF(AND('Mapa final'!#REF!="Baja",'Mapa final'!#REF!="Catastrófico"),CONCATENATE("R8C",'Mapa final'!#REF!),"")</f>
        <v>#REF!</v>
      </c>
      <c r="AI43" s="47" t="e">
        <f>IF(AND('Mapa final'!#REF!="Baja",'Mapa final'!#REF!="Catastrófico"),CONCATENATE("R8C",'Mapa final'!#REF!),"")</f>
        <v>#REF!</v>
      </c>
      <c r="AJ43" s="47" t="e">
        <f>IF(AND('Mapa final'!#REF!="Baja",'Mapa final'!#REF!="Catastrófico"),CONCATENATE("R8C",'Mapa final'!#REF!),"")</f>
        <v>#REF!</v>
      </c>
      <c r="AK43" s="47" t="str">
        <f>IF(AND('Mapa final'!$AA$41="Baja",'Mapa final'!$AC$41="Catastrófico"),CONCATENATE("R8C",'Mapa final'!$Q$41),"")</f>
        <v/>
      </c>
      <c r="AL43" s="47" t="e">
        <f>IF(AND('Mapa final'!#REF!="Baja",'Mapa final'!#REF!="Catastrófico"),CONCATENATE("R8C",'Mapa final'!#REF!),"")</f>
        <v>#REF!</v>
      </c>
      <c r="AM43" s="48" t="e">
        <f>IF(AND('Mapa final'!#REF!="Baja",'Mapa final'!#REF!="Catastrófico"),CONCATENATE("R8C",'Mapa final'!#REF!),"")</f>
        <v>#REF!</v>
      </c>
      <c r="AN43" s="74"/>
      <c r="AO43" s="425"/>
      <c r="AP43" s="426"/>
      <c r="AQ43" s="426"/>
      <c r="AR43" s="426"/>
      <c r="AS43" s="426"/>
      <c r="AT43" s="427"/>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row>
    <row r="44" spans="1:80" ht="15" customHeight="1" x14ac:dyDescent="0.25">
      <c r="A44" s="74"/>
      <c r="B44" s="306"/>
      <c r="C44" s="306"/>
      <c r="D44" s="307"/>
      <c r="E44" s="405"/>
      <c r="F44" s="404"/>
      <c r="G44" s="404"/>
      <c r="H44" s="404"/>
      <c r="I44" s="404"/>
      <c r="J44" s="67" t="str">
        <f>IF(AND('Mapa final'!$AA$42="Baja",'Mapa final'!$AC$42="Leve"),CONCATENATE("R9C",'Mapa final'!$Q$42),"")</f>
        <v/>
      </c>
      <c r="K44" s="68" t="str">
        <f>IF(AND('Mapa final'!$AA$43="Baja",'Mapa final'!$AC$43="Leve"),CONCATENATE("R9C",'Mapa final'!$Q$43),"")</f>
        <v/>
      </c>
      <c r="L44" s="68" t="e">
        <f>IF(AND('Mapa final'!#REF!="Baja",'Mapa final'!#REF!="Leve"),CONCATENATE("R9C",'Mapa final'!#REF!),"")</f>
        <v>#REF!</v>
      </c>
      <c r="M44" s="68" t="e">
        <f>IF(AND('Mapa final'!#REF!="Baja",'Mapa final'!#REF!="Leve"),CONCATENATE("R9C",'Mapa final'!#REF!),"")</f>
        <v>#REF!</v>
      </c>
      <c r="N44" s="68" t="str">
        <f>IF(AND('Mapa final'!$AA$45="Baja",'Mapa final'!$AC$45="Leve"),CONCATENATE("R9C",'Mapa final'!$Q$45),"")</f>
        <v/>
      </c>
      <c r="O44" s="69" t="e">
        <f>IF(AND('Mapa final'!#REF!="Baja",'Mapa final'!#REF!="Leve"),CONCATENATE("R9C",'Mapa final'!#REF!),"")</f>
        <v>#REF!</v>
      </c>
      <c r="P44" s="58" t="str">
        <f>IF(AND('Mapa final'!$AA$42="Baja",'Mapa final'!$AC$42="Menor"),CONCATENATE("R9C",'Mapa final'!$Q$42),"")</f>
        <v/>
      </c>
      <c r="Q44" s="59" t="str">
        <f>IF(AND('Mapa final'!$AA$43="Baja",'Mapa final'!$AC$43="Menor"),CONCATENATE("R9C",'Mapa final'!$Q$43),"")</f>
        <v/>
      </c>
      <c r="R44" s="59" t="e">
        <f>IF(AND('Mapa final'!#REF!="Baja",'Mapa final'!#REF!="Menor"),CONCATENATE("R9C",'Mapa final'!#REF!),"")</f>
        <v>#REF!</v>
      </c>
      <c r="S44" s="59" t="e">
        <f>IF(AND('Mapa final'!#REF!="Baja",'Mapa final'!#REF!="Menor"),CONCATENATE("R9C",'Mapa final'!#REF!),"")</f>
        <v>#REF!</v>
      </c>
      <c r="T44" s="59" t="str">
        <f>IF(AND('Mapa final'!$AA$45="Baja",'Mapa final'!$AC$45="Menor"),CONCATENATE("R9C",'Mapa final'!$Q$45),"")</f>
        <v>R9C1</v>
      </c>
      <c r="U44" s="60" t="e">
        <f>IF(AND('Mapa final'!#REF!="Baja",'Mapa final'!#REF!="Menor"),CONCATENATE("R9C",'Mapa final'!#REF!),"")</f>
        <v>#REF!</v>
      </c>
      <c r="V44" s="58" t="str">
        <f>IF(AND('Mapa final'!$AA$42="Baja",'Mapa final'!$AC$42="Moderado"),CONCATENATE("R9C",'Mapa final'!$Q$42),"")</f>
        <v>R9C1</v>
      </c>
      <c r="W44" s="59" t="str">
        <f>IF(AND('Mapa final'!$AA$43="Baja",'Mapa final'!$AC$43="Moderado"),CONCATENATE("R9C",'Mapa final'!$Q$43),"")</f>
        <v>R9C1</v>
      </c>
      <c r="X44" s="59" t="e">
        <f>IF(AND('Mapa final'!#REF!="Baja",'Mapa final'!#REF!="Moderado"),CONCATENATE("R9C",'Mapa final'!#REF!),"")</f>
        <v>#REF!</v>
      </c>
      <c r="Y44" s="59" t="e">
        <f>IF(AND('Mapa final'!#REF!="Baja",'Mapa final'!#REF!="Moderado"),CONCATENATE("R9C",'Mapa final'!#REF!),"")</f>
        <v>#REF!</v>
      </c>
      <c r="Z44" s="59" t="str">
        <f>IF(AND('Mapa final'!$AA$45="Baja",'Mapa final'!$AC$45="Moderado"),CONCATENATE("R9C",'Mapa final'!$Q$45),"")</f>
        <v/>
      </c>
      <c r="AA44" s="60" t="e">
        <f>IF(AND('Mapa final'!#REF!="Baja",'Mapa final'!#REF!="Moderado"),CONCATENATE("R9C",'Mapa final'!#REF!),"")</f>
        <v>#REF!</v>
      </c>
      <c r="AB44" s="43" t="str">
        <f>IF(AND('Mapa final'!$AA$42="Baja",'Mapa final'!$AC$42="Mayor"),CONCATENATE("R9C",'Mapa final'!$Q$42),"")</f>
        <v/>
      </c>
      <c r="AC44" s="44" t="str">
        <f>IF(AND('Mapa final'!$AA$43="Baja",'Mapa final'!$AC$43="Mayor"),CONCATENATE("R9C",'Mapa final'!$Q$43),"")</f>
        <v/>
      </c>
      <c r="AD44" s="44" t="e">
        <f>IF(AND('Mapa final'!#REF!="Baja",'Mapa final'!#REF!="Mayor"),CONCATENATE("R9C",'Mapa final'!#REF!),"")</f>
        <v>#REF!</v>
      </c>
      <c r="AE44" s="44" t="e">
        <f>IF(AND('Mapa final'!#REF!="Baja",'Mapa final'!#REF!="Mayor"),CONCATENATE("R9C",'Mapa final'!#REF!),"")</f>
        <v>#REF!</v>
      </c>
      <c r="AF44" s="44" t="str">
        <f>IF(AND('Mapa final'!$AA$45="Baja",'Mapa final'!$AC$45="Mayor"),CONCATENATE("R9C",'Mapa final'!$Q$45),"")</f>
        <v/>
      </c>
      <c r="AG44" s="45" t="e">
        <f>IF(AND('Mapa final'!#REF!="Baja",'Mapa final'!#REF!="Mayor"),CONCATENATE("R9C",'Mapa final'!#REF!),"")</f>
        <v>#REF!</v>
      </c>
      <c r="AH44" s="46" t="str">
        <f>IF(AND('Mapa final'!$AA$42="Baja",'Mapa final'!$AC$42="Catastrófico"),CONCATENATE("R9C",'Mapa final'!$Q$42),"")</f>
        <v/>
      </c>
      <c r="AI44" s="47" t="str">
        <f>IF(AND('Mapa final'!$AA$43="Baja",'Mapa final'!$AC$43="Catastrófico"),CONCATENATE("R9C",'Mapa final'!$Q$43),"")</f>
        <v/>
      </c>
      <c r="AJ44" s="47" t="e">
        <f>IF(AND('Mapa final'!#REF!="Baja",'Mapa final'!#REF!="Catastrófico"),CONCATENATE("R9C",'Mapa final'!#REF!),"")</f>
        <v>#REF!</v>
      </c>
      <c r="AK44" s="47" t="e">
        <f>IF(AND('Mapa final'!#REF!="Baja",'Mapa final'!#REF!="Catastrófico"),CONCATENATE("R9C",'Mapa final'!#REF!),"")</f>
        <v>#REF!</v>
      </c>
      <c r="AL44" s="47" t="str">
        <f>IF(AND('Mapa final'!$AA$45="Baja",'Mapa final'!$AC$45="Catastrófico"),CONCATENATE("R9C",'Mapa final'!$Q$45),"")</f>
        <v/>
      </c>
      <c r="AM44" s="48" t="e">
        <f>IF(AND('Mapa final'!#REF!="Baja",'Mapa final'!#REF!="Catastrófico"),CONCATENATE("R9C",'Mapa final'!#REF!),"")</f>
        <v>#REF!</v>
      </c>
      <c r="AN44" s="74"/>
      <c r="AO44" s="425"/>
      <c r="AP44" s="426"/>
      <c r="AQ44" s="426"/>
      <c r="AR44" s="426"/>
      <c r="AS44" s="426"/>
      <c r="AT44" s="427"/>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row>
    <row r="45" spans="1:80" ht="15.75" customHeight="1" thickBot="1" x14ac:dyDescent="0.3">
      <c r="A45" s="74"/>
      <c r="B45" s="306"/>
      <c r="C45" s="306"/>
      <c r="D45" s="307"/>
      <c r="E45" s="406"/>
      <c r="F45" s="407"/>
      <c r="G45" s="407"/>
      <c r="H45" s="407"/>
      <c r="I45" s="407"/>
      <c r="J45" s="70" t="e">
        <f>IF(AND('Mapa final'!#REF!="Baja",'Mapa final'!#REF!="Leve"),CONCATENATE("R10C",'Mapa final'!#REF!),"")</f>
        <v>#REF!</v>
      </c>
      <c r="K45" s="71" t="str">
        <f>IF(AND('Mapa final'!$AA$46="Baja",'Mapa final'!$AC$46="Leve"),CONCATENATE("R10C",'Mapa final'!$Q$46),"")</f>
        <v/>
      </c>
      <c r="L45" s="71" t="e">
        <f>IF(AND('Mapa final'!#REF!="Baja",'Mapa final'!#REF!="Leve"),CONCATENATE("R10C",'Mapa final'!#REF!),"")</f>
        <v>#REF!</v>
      </c>
      <c r="M45" s="71" t="e">
        <f>IF(AND('Mapa final'!#REF!="Baja",'Mapa final'!#REF!="Leve"),CONCATENATE("R10C",'Mapa final'!#REF!),"")</f>
        <v>#REF!</v>
      </c>
      <c r="N45" s="71" t="e">
        <f>IF(AND('Mapa final'!#REF!="Baja",'Mapa final'!#REF!="Leve"),CONCATENATE("R10C",'Mapa final'!#REF!),"")</f>
        <v>#REF!</v>
      </c>
      <c r="O45" s="72" t="e">
        <f>IF(AND('Mapa final'!#REF!="Baja",'Mapa final'!#REF!="Leve"),CONCATENATE("R10C",'Mapa final'!#REF!),"")</f>
        <v>#REF!</v>
      </c>
      <c r="P45" s="58" t="e">
        <f>IF(AND('Mapa final'!#REF!="Baja",'Mapa final'!#REF!="Menor"),CONCATENATE("R10C",'Mapa final'!#REF!),"")</f>
        <v>#REF!</v>
      </c>
      <c r="Q45" s="59" t="str">
        <f>IF(AND('Mapa final'!$AA$46="Baja",'Mapa final'!$AC$46="Menor"),CONCATENATE("R10C",'Mapa final'!$Q$46),"")</f>
        <v/>
      </c>
      <c r="R45" s="59" t="e">
        <f>IF(AND('Mapa final'!#REF!="Baja",'Mapa final'!#REF!="Menor"),CONCATENATE("R10C",'Mapa final'!#REF!),"")</f>
        <v>#REF!</v>
      </c>
      <c r="S45" s="59" t="e">
        <f>IF(AND('Mapa final'!#REF!="Baja",'Mapa final'!#REF!="Menor"),CONCATENATE("R10C",'Mapa final'!#REF!),"")</f>
        <v>#REF!</v>
      </c>
      <c r="T45" s="59" t="e">
        <f>IF(AND('Mapa final'!#REF!="Baja",'Mapa final'!#REF!="Menor"),CONCATENATE("R10C",'Mapa final'!#REF!),"")</f>
        <v>#REF!</v>
      </c>
      <c r="U45" s="60" t="e">
        <f>IF(AND('Mapa final'!#REF!="Baja",'Mapa final'!#REF!="Menor"),CONCATENATE("R10C",'Mapa final'!#REF!),"")</f>
        <v>#REF!</v>
      </c>
      <c r="V45" s="61" t="e">
        <f>IF(AND('Mapa final'!#REF!="Baja",'Mapa final'!#REF!="Moderado"),CONCATENATE("R10C",'Mapa final'!#REF!),"")</f>
        <v>#REF!</v>
      </c>
      <c r="W45" s="62" t="str">
        <f>IF(AND('Mapa final'!$AA$46="Baja",'Mapa final'!$AC$46="Moderado"),CONCATENATE("R10C",'Mapa final'!$Q$46),"")</f>
        <v>R10C1</v>
      </c>
      <c r="X45" s="62" t="e">
        <f>IF(AND('Mapa final'!#REF!="Baja",'Mapa final'!#REF!="Moderado"),CONCATENATE("R10C",'Mapa final'!#REF!),"")</f>
        <v>#REF!</v>
      </c>
      <c r="Y45" s="62" t="e">
        <f>IF(AND('Mapa final'!#REF!="Baja",'Mapa final'!#REF!="Moderado"),CONCATENATE("R10C",'Mapa final'!#REF!),"")</f>
        <v>#REF!</v>
      </c>
      <c r="Z45" s="62" t="e">
        <f>IF(AND('Mapa final'!#REF!="Baja",'Mapa final'!#REF!="Moderado"),CONCATENATE("R10C",'Mapa final'!#REF!),"")</f>
        <v>#REF!</v>
      </c>
      <c r="AA45" s="63" t="e">
        <f>IF(AND('Mapa final'!#REF!="Baja",'Mapa final'!#REF!="Moderado"),CONCATENATE("R10C",'Mapa final'!#REF!),"")</f>
        <v>#REF!</v>
      </c>
      <c r="AB45" s="49" t="e">
        <f>IF(AND('Mapa final'!#REF!="Baja",'Mapa final'!#REF!="Mayor"),CONCATENATE("R10C",'Mapa final'!#REF!),"")</f>
        <v>#REF!</v>
      </c>
      <c r="AC45" s="50" t="str">
        <f>IF(AND('Mapa final'!$AA$46="Baja",'Mapa final'!$AC$46="Mayor"),CONCATENATE("R10C",'Mapa final'!$Q$46),"")</f>
        <v/>
      </c>
      <c r="AD45" s="50" t="e">
        <f>IF(AND('Mapa final'!#REF!="Baja",'Mapa final'!#REF!="Mayor"),CONCATENATE("R10C",'Mapa final'!#REF!),"")</f>
        <v>#REF!</v>
      </c>
      <c r="AE45" s="50" t="e">
        <f>IF(AND('Mapa final'!#REF!="Baja",'Mapa final'!#REF!="Mayor"),CONCATENATE("R10C",'Mapa final'!#REF!),"")</f>
        <v>#REF!</v>
      </c>
      <c r="AF45" s="50" t="e">
        <f>IF(AND('Mapa final'!#REF!="Baja",'Mapa final'!#REF!="Mayor"),CONCATENATE("R10C",'Mapa final'!#REF!),"")</f>
        <v>#REF!</v>
      </c>
      <c r="AG45" s="51" t="e">
        <f>IF(AND('Mapa final'!#REF!="Baja",'Mapa final'!#REF!="Mayor"),CONCATENATE("R10C",'Mapa final'!#REF!),"")</f>
        <v>#REF!</v>
      </c>
      <c r="AH45" s="52" t="e">
        <f>IF(AND('Mapa final'!#REF!="Baja",'Mapa final'!#REF!="Catastrófico"),CONCATENATE("R10C",'Mapa final'!#REF!),"")</f>
        <v>#REF!</v>
      </c>
      <c r="AI45" s="53" t="str">
        <f>IF(AND('Mapa final'!$AA$46="Baja",'Mapa final'!$AC$46="Catastrófico"),CONCATENATE("R10C",'Mapa final'!$Q$46),"")</f>
        <v/>
      </c>
      <c r="AJ45" s="53" t="e">
        <f>IF(AND('Mapa final'!#REF!="Baja",'Mapa final'!#REF!="Catastrófico"),CONCATENATE("R10C",'Mapa final'!#REF!),"")</f>
        <v>#REF!</v>
      </c>
      <c r="AK45" s="53" t="e">
        <f>IF(AND('Mapa final'!#REF!="Baja",'Mapa final'!#REF!="Catastrófico"),CONCATENATE("R10C",'Mapa final'!#REF!),"")</f>
        <v>#REF!</v>
      </c>
      <c r="AL45" s="53" t="e">
        <f>IF(AND('Mapa final'!#REF!="Baja",'Mapa final'!#REF!="Catastrófico"),CONCATENATE("R10C",'Mapa final'!#REF!),"")</f>
        <v>#REF!</v>
      </c>
      <c r="AM45" s="54" t="e">
        <f>IF(AND('Mapa final'!#REF!="Baja",'Mapa final'!#REF!="Catastrófico"),CONCATENATE("R10C",'Mapa final'!#REF!),"")</f>
        <v>#REF!</v>
      </c>
      <c r="AN45" s="74"/>
      <c r="AO45" s="428"/>
      <c r="AP45" s="429"/>
      <c r="AQ45" s="429"/>
      <c r="AR45" s="429"/>
      <c r="AS45" s="429"/>
      <c r="AT45" s="430"/>
    </row>
    <row r="46" spans="1:80" ht="46.5" customHeight="1" x14ac:dyDescent="0.35">
      <c r="A46" s="74"/>
      <c r="B46" s="306"/>
      <c r="C46" s="306"/>
      <c r="D46" s="307"/>
      <c r="E46" s="401" t="s">
        <v>112</v>
      </c>
      <c r="F46" s="402"/>
      <c r="G46" s="402"/>
      <c r="H46" s="402"/>
      <c r="I46" s="419"/>
      <c r="J46" s="64" t="str">
        <f>IF(AND('Mapa final'!$AA$9="Muy Baja",'Mapa final'!$AC$9="Leve"),CONCATENATE("R1C",'Mapa final'!$Q$9),"")</f>
        <v/>
      </c>
      <c r="K46" s="65" t="str">
        <f>IF(AND('Mapa final'!$AA$10="Muy Baja",'Mapa final'!$AC$10="Leve"),CONCATENATE("R1C",'Mapa final'!$Q$10),"")</f>
        <v/>
      </c>
      <c r="L46" s="65" t="str">
        <f>IF(AND('Mapa final'!$AA$11="Muy Baja",'Mapa final'!$AC$11="Leve"),CONCATENATE("R1C",'Mapa final'!$Q$11),"")</f>
        <v/>
      </c>
      <c r="M46" s="65" t="str">
        <f>IF(AND('Mapa final'!$AA$12="Muy Baja",'Mapa final'!$AC$12="Leve"),CONCATENATE("R1C",'Mapa final'!$Q$12),"")</f>
        <v/>
      </c>
      <c r="N46" s="65" t="str">
        <f>IF(AND('Mapa final'!$AA$13="Muy Baja",'Mapa final'!$AC$13="Leve"),CONCATENATE("R1C",'Mapa final'!$Q$13),"")</f>
        <v/>
      </c>
      <c r="O46" s="66" t="str">
        <f>IF(AND('Mapa final'!$AA$14="Muy Baja",'Mapa final'!$AC$14="Leve"),CONCATENATE("R1C",'Mapa final'!$Q$14),"")</f>
        <v/>
      </c>
      <c r="P46" s="64" t="str">
        <f>IF(AND('Mapa final'!$AA$9="Muy Baja",'Mapa final'!$AC$9="Menor"),CONCATENATE("R1C",'Mapa final'!$Q$9),"")</f>
        <v/>
      </c>
      <c r="Q46" s="65" t="str">
        <f>IF(AND('Mapa final'!$AA$10="Muy Baja",'Mapa final'!$AC$10="Menor"),CONCATENATE("R1C",'Mapa final'!$Q$10),"")</f>
        <v/>
      </c>
      <c r="R46" s="65" t="str">
        <f>IF(AND('Mapa final'!$AA$11="Muy Baja",'Mapa final'!$AC$11="Menor"),CONCATENATE("R1C",'Mapa final'!$Q$11),"")</f>
        <v/>
      </c>
      <c r="S46" s="65" t="str">
        <f>IF(AND('Mapa final'!$AA$12="Muy Baja",'Mapa final'!$AC$12="Menor"),CONCATENATE("R1C",'Mapa final'!$Q$12),"")</f>
        <v/>
      </c>
      <c r="T46" s="65" t="str">
        <f>IF(AND('Mapa final'!$AA$13="Muy Baja",'Mapa final'!$AC$13="Menor"),CONCATENATE("R1C",'Mapa final'!$Q$13),"")</f>
        <v/>
      </c>
      <c r="U46" s="66" t="str">
        <f>IF(AND('Mapa final'!$AA$14="Muy Baja",'Mapa final'!$AC$14="Menor"),CONCATENATE("R1C",'Mapa final'!$Q$14),"")</f>
        <v/>
      </c>
      <c r="V46" s="55" t="str">
        <f>IF(AND('Mapa final'!$AA$9="Muy Baja",'Mapa final'!$AC$9="Moderado"),CONCATENATE("R1C",'Mapa final'!$Q$9),"")</f>
        <v/>
      </c>
      <c r="W46" s="73" t="str">
        <f>IF(AND('Mapa final'!$AA$10="Muy Baja",'Mapa final'!$AC$10="Moderado"),CONCATENATE("R1C",'Mapa final'!$Q$10),"")</f>
        <v/>
      </c>
      <c r="X46" s="56" t="str">
        <f>IF(AND('Mapa final'!$AA$11="Muy Baja",'Mapa final'!$AC$11="Moderado"),CONCATENATE("R1C",'Mapa final'!$Q$11),"")</f>
        <v/>
      </c>
      <c r="Y46" s="56" t="str">
        <f>IF(AND('Mapa final'!$AA$12="Muy Baja",'Mapa final'!$AC$12="Moderado"),CONCATENATE("R1C",'Mapa final'!$Q$12),"")</f>
        <v/>
      </c>
      <c r="Z46" s="56" t="str">
        <f>IF(AND('Mapa final'!$AA$13="Muy Baja",'Mapa final'!$AC$13="Moderado"),CONCATENATE("R1C",'Mapa final'!$Q$13),"")</f>
        <v>R1C1</v>
      </c>
      <c r="AA46" s="57" t="str">
        <f>IF(AND('Mapa final'!$AA$14="Muy Baja",'Mapa final'!$AC$14="Moderado"),CONCATENATE("R1C",'Mapa final'!$Q$14),"")</f>
        <v>R1C1</v>
      </c>
      <c r="AB46" s="37" t="str">
        <f>IF(AND('Mapa final'!$AA$9="Muy Baja",'Mapa final'!$AC$9="Mayor"),CONCATENATE("R1C",'Mapa final'!$Q$9),"")</f>
        <v/>
      </c>
      <c r="AC46" s="38" t="str">
        <f>IF(AND('Mapa final'!$AA$10="Muy Baja",'Mapa final'!$AC$10="Mayor"),CONCATENATE("R1C",'Mapa final'!$Q$10),"")</f>
        <v/>
      </c>
      <c r="AD46" s="38" t="str">
        <f>IF(AND('Mapa final'!$AA$11="Muy Baja",'Mapa final'!$AC$11="Mayor"),CONCATENATE("R1C",'Mapa final'!$Q$11),"")</f>
        <v>R1C1</v>
      </c>
      <c r="AE46" s="38" t="str">
        <f>IF(AND('Mapa final'!$AA$12="Muy Baja",'Mapa final'!$AC$12="Mayor"),CONCATENATE("R1C",'Mapa final'!$Q$12),"")</f>
        <v>R1C1</v>
      </c>
      <c r="AF46" s="38" t="str">
        <f>IF(AND('Mapa final'!$AA$13="Muy Baja",'Mapa final'!$AC$13="Mayor"),CONCATENATE("R1C",'Mapa final'!$Q$13),"")</f>
        <v/>
      </c>
      <c r="AG46" s="39" t="str">
        <f>IF(AND('Mapa final'!$AA$14="Muy Baja",'Mapa final'!$AC$14="Mayor"),CONCATENATE("R1C",'Mapa final'!$Q$14),"")</f>
        <v/>
      </c>
      <c r="AH46" s="40" t="str">
        <f>IF(AND('Mapa final'!$AA$9="Muy Baja",'Mapa final'!$AC$9="Catastrófico"),CONCATENATE("R1C",'Mapa final'!$Q$9),"")</f>
        <v/>
      </c>
      <c r="AI46" s="41" t="str">
        <f>IF(AND('Mapa final'!$AA$10="Muy Baja",'Mapa final'!$AC$10="Catastrófico"),CONCATENATE("R1C",'Mapa final'!$Q$10),"")</f>
        <v/>
      </c>
      <c r="AJ46" s="41" t="str">
        <f>IF(AND('Mapa final'!$AA$11="Muy Baja",'Mapa final'!$AC$11="Catastrófico"),CONCATENATE("R1C",'Mapa final'!$Q$11),"")</f>
        <v/>
      </c>
      <c r="AK46" s="41" t="str">
        <f>IF(AND('Mapa final'!$AA$12="Muy Baja",'Mapa final'!$AC$12="Catastrófico"),CONCATENATE("R1C",'Mapa final'!$Q$12),"")</f>
        <v/>
      </c>
      <c r="AL46" s="41" t="str">
        <f>IF(AND('Mapa final'!$AA$13="Muy Baja",'Mapa final'!$AC$13="Catastrófico"),CONCATENATE("R1C",'Mapa final'!$Q$13),"")</f>
        <v/>
      </c>
      <c r="AM46" s="42" t="str">
        <f>IF(AND('Mapa final'!$AA$14="Muy Baja",'Mapa final'!$AC$14="Catastrófico"),CONCATENATE("R1C",'Mapa final'!$Q$14),"")</f>
        <v/>
      </c>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row>
    <row r="47" spans="1:80" ht="46.5" customHeight="1" x14ac:dyDescent="0.25">
      <c r="A47" s="74"/>
      <c r="B47" s="306"/>
      <c r="C47" s="306"/>
      <c r="D47" s="307"/>
      <c r="E47" s="403"/>
      <c r="F47" s="404"/>
      <c r="G47" s="404"/>
      <c r="H47" s="404"/>
      <c r="I47" s="420"/>
      <c r="J47" s="67" t="str">
        <f>IF(AND('Mapa final'!$AA$15="Muy Baja",'Mapa final'!$AC$15="Leve"),CONCATENATE("R2C",'Mapa final'!$Q$15),"")</f>
        <v/>
      </c>
      <c r="K47" s="68" t="str">
        <f>IF(AND('Mapa final'!$AA$16="Muy Baja",'Mapa final'!$AC$16="Leve"),CONCATENATE("R2C",'Mapa final'!$Q$16),"")</f>
        <v/>
      </c>
      <c r="L47" s="68" t="str">
        <f>IF(AND('Mapa final'!$AA$17="Muy Baja",'Mapa final'!$AC$17="Leve"),CONCATENATE("R2C",'Mapa final'!$Q$17),"")</f>
        <v/>
      </c>
      <c r="M47" s="68" t="e">
        <f>IF(AND('Mapa final'!#REF!="Muy Baja",'Mapa final'!#REF!="Leve"),CONCATENATE("R2C",'Mapa final'!#REF!),"")</f>
        <v>#REF!</v>
      </c>
      <c r="N47" s="68" t="str">
        <f>IF(AND('Mapa final'!$AA$18="Muy Baja",'Mapa final'!$AC$18="Leve"),CONCATENATE("R2C",'Mapa final'!$Q$18),"")</f>
        <v/>
      </c>
      <c r="O47" s="69" t="e">
        <f>IF(AND('Mapa final'!#REF!="Muy Baja",'Mapa final'!#REF!="Leve"),CONCATENATE("R2C",'Mapa final'!#REF!),"")</f>
        <v>#REF!</v>
      </c>
      <c r="P47" s="67" t="str">
        <f>IF(AND('Mapa final'!$AA$15="Muy Baja",'Mapa final'!$AC$15="Menor"),CONCATENATE("R2C",'Mapa final'!$Q$15),"")</f>
        <v/>
      </c>
      <c r="Q47" s="68" t="str">
        <f>IF(AND('Mapa final'!$AA$16="Muy Baja",'Mapa final'!$AC$16="Menor"),CONCATENATE("R2C",'Mapa final'!$Q$16),"")</f>
        <v/>
      </c>
      <c r="R47" s="68" t="str">
        <f>IF(AND('Mapa final'!$AA$17="Muy Baja",'Mapa final'!$AC$17="Menor"),CONCATENATE("R2C",'Mapa final'!$Q$17),"")</f>
        <v/>
      </c>
      <c r="S47" s="68" t="e">
        <f>IF(AND('Mapa final'!#REF!="Muy Baja",'Mapa final'!#REF!="Menor"),CONCATENATE("R2C",'Mapa final'!#REF!),"")</f>
        <v>#REF!</v>
      </c>
      <c r="T47" s="68" t="str">
        <f>IF(AND('Mapa final'!$AA$18="Muy Baja",'Mapa final'!$AC$18="Menor"),CONCATENATE("R2C",'Mapa final'!$Q$18),"")</f>
        <v/>
      </c>
      <c r="U47" s="69" t="e">
        <f>IF(AND('Mapa final'!#REF!="Muy Baja",'Mapa final'!#REF!="Menor"),CONCATENATE("R2C",'Mapa final'!#REF!),"")</f>
        <v>#REF!</v>
      </c>
      <c r="V47" s="58" t="str">
        <f>IF(AND('Mapa final'!$AA$15="Muy Baja",'Mapa final'!$AC$15="Moderado"),CONCATENATE("R2C",'Mapa final'!$Q$15),"")</f>
        <v/>
      </c>
      <c r="W47" s="59" t="str">
        <f>IF(AND('Mapa final'!$AA$16="Muy Baja",'Mapa final'!$AC$16="Moderado"),CONCATENATE("R2C",'Mapa final'!$Q$16),"")</f>
        <v/>
      </c>
      <c r="X47" s="59" t="str">
        <f>IF(AND('Mapa final'!$AA$17="Muy Baja",'Mapa final'!$AC$17="Moderado"),CONCATENATE("R2C",'Mapa final'!$Q$17),"")</f>
        <v>R2C2</v>
      </c>
      <c r="Y47" s="59" t="e">
        <f>IF(AND('Mapa final'!#REF!="Muy Baja",'Mapa final'!#REF!="Moderado"),CONCATENATE("R2C",'Mapa final'!#REF!),"")</f>
        <v>#REF!</v>
      </c>
      <c r="Z47" s="59" t="str">
        <f>IF(AND('Mapa final'!$AA$18="Muy Baja",'Mapa final'!$AC$18="Moderado"),CONCATENATE("R2C",'Mapa final'!$Q$18),"")</f>
        <v/>
      </c>
      <c r="AA47" s="60" t="e">
        <f>IF(AND('Mapa final'!#REF!="Muy Baja",'Mapa final'!#REF!="Moderado"),CONCATENATE("R2C",'Mapa final'!#REF!),"")</f>
        <v>#REF!</v>
      </c>
      <c r="AB47" s="43" t="str">
        <f>IF(AND('Mapa final'!$AA$15="Muy Baja",'Mapa final'!$AC$15="Mayor"),CONCATENATE("R2C",'Mapa final'!$Q$15),"")</f>
        <v/>
      </c>
      <c r="AC47" s="44" t="str">
        <f>IF(AND('Mapa final'!$AA$16="Muy Baja",'Mapa final'!$AC$16="Mayor"),CONCATENATE("R2C",'Mapa final'!$Q$16),"")</f>
        <v/>
      </c>
      <c r="AD47" s="44" t="str">
        <f>IF(AND('Mapa final'!$AA$17="Muy Baja",'Mapa final'!$AC$17="Mayor"),CONCATENATE("R2C",'Mapa final'!$Q$17),"")</f>
        <v/>
      </c>
      <c r="AE47" s="44" t="e">
        <f>IF(AND('Mapa final'!#REF!="Muy Baja",'Mapa final'!#REF!="Mayor"),CONCATENATE("R2C",'Mapa final'!#REF!),"")</f>
        <v>#REF!</v>
      </c>
      <c r="AF47" s="44" t="str">
        <f>IF(AND('Mapa final'!$AA$18="Muy Baja",'Mapa final'!$AC$18="Mayor"),CONCATENATE("R2C",'Mapa final'!$Q$18),"")</f>
        <v/>
      </c>
      <c r="AG47" s="45" t="e">
        <f>IF(AND('Mapa final'!#REF!="Muy Baja",'Mapa final'!#REF!="Mayor"),CONCATENATE("R2C",'Mapa final'!#REF!),"")</f>
        <v>#REF!</v>
      </c>
      <c r="AH47" s="46" t="str">
        <f>IF(AND('Mapa final'!$AA$15="Muy Baja",'Mapa final'!$AC$15="Catastrófico"),CONCATENATE("R2C",'Mapa final'!$Q$15),"")</f>
        <v/>
      </c>
      <c r="AI47" s="47" t="str">
        <f>IF(AND('Mapa final'!$AA$16="Muy Baja",'Mapa final'!$AC$16="Catastrófico"),CONCATENATE("R2C",'Mapa final'!$Q$16),"")</f>
        <v/>
      </c>
      <c r="AJ47" s="47" t="str">
        <f>IF(AND('Mapa final'!$AA$17="Muy Baja",'Mapa final'!$AC$17="Catastrófico"),CONCATENATE("R2C",'Mapa final'!$Q$17),"")</f>
        <v/>
      </c>
      <c r="AK47" s="47" t="e">
        <f>IF(AND('Mapa final'!#REF!="Muy Baja",'Mapa final'!#REF!="Catastrófico"),CONCATENATE("R2C",'Mapa final'!#REF!),"")</f>
        <v>#REF!</v>
      </c>
      <c r="AL47" s="47" t="str">
        <f>IF(AND('Mapa final'!$AA$18="Muy Baja",'Mapa final'!$AC$18="Catastrófico"),CONCATENATE("R2C",'Mapa final'!$Q$18),"")</f>
        <v/>
      </c>
      <c r="AM47" s="48" t="e">
        <f>IF(AND('Mapa final'!#REF!="Muy Baja",'Mapa final'!#REF!="Catastrófico"),CONCATENATE("R2C",'Mapa final'!#REF!),"")</f>
        <v>#REF!</v>
      </c>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row>
    <row r="48" spans="1:80" ht="15" customHeight="1" x14ac:dyDescent="0.25">
      <c r="A48" s="74"/>
      <c r="B48" s="306"/>
      <c r="C48" s="306"/>
      <c r="D48" s="307"/>
      <c r="E48" s="403"/>
      <c r="F48" s="404"/>
      <c r="G48" s="404"/>
      <c r="H48" s="404"/>
      <c r="I48" s="420"/>
      <c r="J48" s="67" t="e">
        <f>IF(AND('Mapa final'!#REF!="Muy Baja",'Mapa final'!#REF!="Leve"),CONCATENATE("R3C",'Mapa final'!#REF!),"")</f>
        <v>#REF!</v>
      </c>
      <c r="K48" s="68" t="e">
        <f>IF(AND('Mapa final'!#REF!="Muy Baja",'Mapa final'!#REF!="Leve"),CONCATENATE("R3C",'Mapa final'!#REF!),"")</f>
        <v>#REF!</v>
      </c>
      <c r="L48" s="68" t="e">
        <f>IF(AND('Mapa final'!#REF!="Muy Baja",'Mapa final'!#REF!="Leve"),CONCATENATE("R3C",'Mapa final'!#REF!),"")</f>
        <v>#REF!</v>
      </c>
      <c r="M48" s="68" t="e">
        <f>IF(AND('Mapa final'!#REF!="Muy Baja",'Mapa final'!#REF!="Leve"),CONCATENATE("R3C",'Mapa final'!#REF!),"")</f>
        <v>#REF!</v>
      </c>
      <c r="N48" s="68" t="str">
        <f>IF(AND('Mapa final'!$AA$19="Muy Baja",'Mapa final'!$AC$19="Leve"),CONCATENATE("R3C",'Mapa final'!$Q$19),"")</f>
        <v/>
      </c>
      <c r="O48" s="69" t="str">
        <f>IF(AND('Mapa final'!$AA$20="Muy Baja",'Mapa final'!$AC$20="Leve"),CONCATENATE("R3C",'Mapa final'!$Q$20),"")</f>
        <v/>
      </c>
      <c r="P48" s="67" t="e">
        <f>IF(AND('Mapa final'!#REF!="Muy Baja",'Mapa final'!#REF!="Menor"),CONCATENATE("R3C",'Mapa final'!#REF!),"")</f>
        <v>#REF!</v>
      </c>
      <c r="Q48" s="68" t="e">
        <f>IF(AND('Mapa final'!#REF!="Muy Baja",'Mapa final'!#REF!="Menor"),CONCATENATE("R3C",'Mapa final'!#REF!),"")</f>
        <v>#REF!</v>
      </c>
      <c r="R48" s="68" t="e">
        <f>IF(AND('Mapa final'!#REF!="Muy Baja",'Mapa final'!#REF!="Menor"),CONCATENATE("R3C",'Mapa final'!#REF!),"")</f>
        <v>#REF!</v>
      </c>
      <c r="S48" s="68" t="e">
        <f>IF(AND('Mapa final'!#REF!="Muy Baja",'Mapa final'!#REF!="Menor"),CONCATENATE("R3C",'Mapa final'!#REF!),"")</f>
        <v>#REF!</v>
      </c>
      <c r="T48" s="68" t="str">
        <f>IF(AND('Mapa final'!$AA$19="Muy Baja",'Mapa final'!$AC$19="Menor"),CONCATENATE("R3C",'Mapa final'!$Q$19),"")</f>
        <v/>
      </c>
      <c r="U48" s="69" t="str">
        <f>IF(AND('Mapa final'!$AA$20="Muy Baja",'Mapa final'!$AC$20="Menor"),CONCATENATE("R3C",'Mapa final'!$Q$20),"")</f>
        <v/>
      </c>
      <c r="V48" s="58" t="e">
        <f>IF(AND('Mapa final'!#REF!="Muy Baja",'Mapa final'!#REF!="Moderado"),CONCATENATE("R3C",'Mapa final'!#REF!),"")</f>
        <v>#REF!</v>
      </c>
      <c r="W48" s="59" t="e">
        <f>IF(AND('Mapa final'!#REF!="Muy Baja",'Mapa final'!#REF!="Moderado"),CONCATENATE("R3C",'Mapa final'!#REF!),"")</f>
        <v>#REF!</v>
      </c>
      <c r="X48" s="59" t="e">
        <f>IF(AND('Mapa final'!#REF!="Muy Baja",'Mapa final'!#REF!="Moderado"),CONCATENATE("R3C",'Mapa final'!#REF!),"")</f>
        <v>#REF!</v>
      </c>
      <c r="Y48" s="59" t="e">
        <f>IF(AND('Mapa final'!#REF!="Muy Baja",'Mapa final'!#REF!="Moderado"),CONCATENATE("R3C",'Mapa final'!#REF!),"")</f>
        <v>#REF!</v>
      </c>
      <c r="Z48" s="59" t="str">
        <f>IF(AND('Mapa final'!$AA$19="Muy Baja",'Mapa final'!$AC$19="Moderado"),CONCATENATE("R3C",'Mapa final'!$Q$19),"")</f>
        <v/>
      </c>
      <c r="AA48" s="60" t="str">
        <f>IF(AND('Mapa final'!$AA$20="Muy Baja",'Mapa final'!$AC$20="Moderado"),CONCATENATE("R3C",'Mapa final'!$Q$20),"")</f>
        <v/>
      </c>
      <c r="AB48" s="43" t="e">
        <f>IF(AND('Mapa final'!#REF!="Muy Baja",'Mapa final'!#REF!="Mayor"),CONCATENATE("R3C",'Mapa final'!#REF!),"")</f>
        <v>#REF!</v>
      </c>
      <c r="AC48" s="44" t="e">
        <f>IF(AND('Mapa final'!#REF!="Muy Baja",'Mapa final'!#REF!="Mayor"),CONCATENATE("R3C",'Mapa final'!#REF!),"")</f>
        <v>#REF!</v>
      </c>
      <c r="AD48" s="44" t="e">
        <f>IF(AND('Mapa final'!#REF!="Muy Baja",'Mapa final'!#REF!="Mayor"),CONCATENATE("R3C",'Mapa final'!#REF!),"")</f>
        <v>#REF!</v>
      </c>
      <c r="AE48" s="44" t="e">
        <f>IF(AND('Mapa final'!#REF!="Muy Baja",'Mapa final'!#REF!="Mayor"),CONCATENATE("R3C",'Mapa final'!#REF!),"")</f>
        <v>#REF!</v>
      </c>
      <c r="AF48" s="44" t="str">
        <f>IF(AND('Mapa final'!$AA$19="Muy Baja",'Mapa final'!$AC$19="Mayor"),CONCATENATE("R3C",'Mapa final'!$Q$19),"")</f>
        <v/>
      </c>
      <c r="AG48" s="45" t="str">
        <f>IF(AND('Mapa final'!$AA$20="Muy Baja",'Mapa final'!$AC$20="Mayor"),CONCATENATE("R3C",'Mapa final'!$Q$20),"")</f>
        <v/>
      </c>
      <c r="AH48" s="46" t="e">
        <f>IF(AND('Mapa final'!#REF!="Muy Baja",'Mapa final'!#REF!="Catastrófico"),CONCATENATE("R3C",'Mapa final'!#REF!),"")</f>
        <v>#REF!</v>
      </c>
      <c r="AI48" s="47" t="e">
        <f>IF(AND('Mapa final'!#REF!="Muy Baja",'Mapa final'!#REF!="Catastrófico"),CONCATENATE("R3C",'Mapa final'!#REF!),"")</f>
        <v>#REF!</v>
      </c>
      <c r="AJ48" s="47" t="e">
        <f>IF(AND('Mapa final'!#REF!="Muy Baja",'Mapa final'!#REF!="Catastrófico"),CONCATENATE("R3C",'Mapa final'!#REF!),"")</f>
        <v>#REF!</v>
      </c>
      <c r="AK48" s="47" t="e">
        <f>IF(AND('Mapa final'!#REF!="Muy Baja",'Mapa final'!#REF!="Catastrófico"),CONCATENATE("R3C",'Mapa final'!#REF!),"")</f>
        <v>#REF!</v>
      </c>
      <c r="AL48" s="47" t="str">
        <f>IF(AND('Mapa final'!$AA$19="Muy Baja",'Mapa final'!$AC$19="Catastrófico"),CONCATENATE("R3C",'Mapa final'!$Q$19),"")</f>
        <v/>
      </c>
      <c r="AM48" s="48" t="str">
        <f>IF(AND('Mapa final'!$AA$20="Muy Baja",'Mapa final'!$AC$20="Catastrófico"),CONCATENATE("R3C",'Mapa final'!$Q$20),"")</f>
        <v/>
      </c>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row>
    <row r="49" spans="1:80" ht="15" customHeight="1" x14ac:dyDescent="0.25">
      <c r="A49" s="74"/>
      <c r="B49" s="306"/>
      <c r="C49" s="306"/>
      <c r="D49" s="307"/>
      <c r="E49" s="405"/>
      <c r="F49" s="404"/>
      <c r="G49" s="404"/>
      <c r="H49" s="404"/>
      <c r="I49" s="420"/>
      <c r="J49" s="67" t="e">
        <f>IF(AND('Mapa final'!#REF!="Muy Baja",'Mapa final'!#REF!="Leve"),CONCATENATE("R4C",'Mapa final'!#REF!),"")</f>
        <v>#REF!</v>
      </c>
      <c r="K49" s="68" t="e">
        <f>IF(AND('Mapa final'!#REF!="Muy Baja",'Mapa final'!#REF!="Leve"),CONCATENATE("R4C",'Mapa final'!#REF!),"")</f>
        <v>#REF!</v>
      </c>
      <c r="L49" s="68" t="str">
        <f>IF(AND('Mapa final'!$AA$23="Muy Baja",'Mapa final'!$AC$23="Leve"),CONCATENATE("R4C",'Mapa final'!$Q$23),"")</f>
        <v/>
      </c>
      <c r="M49" s="68" t="str">
        <f>IF(AND('Mapa final'!$AA$24="Muy Baja",'Mapa final'!$AC$24="Leve"),CONCATENATE("R4C",'Mapa final'!$Q$24),"")</f>
        <v/>
      </c>
      <c r="N49" s="68" t="e">
        <f>IF(AND('Mapa final'!#REF!="Muy Baja",'Mapa final'!#REF!="Leve"),CONCATENATE("R4C",'Mapa final'!#REF!),"")</f>
        <v>#REF!</v>
      </c>
      <c r="O49" s="69" t="str">
        <f>IF(AND('Mapa final'!$AA$25="Muy Baja",'Mapa final'!$AC$25="Leve"),CONCATENATE("R4C",'Mapa final'!$Q$25),"")</f>
        <v/>
      </c>
      <c r="P49" s="67" t="e">
        <f>IF(AND('Mapa final'!#REF!="Muy Baja",'Mapa final'!#REF!="Menor"),CONCATENATE("R4C",'Mapa final'!#REF!),"")</f>
        <v>#REF!</v>
      </c>
      <c r="Q49" s="68" t="e">
        <f>IF(AND('Mapa final'!#REF!="Muy Baja",'Mapa final'!#REF!="Menor"),CONCATENATE("R4C",'Mapa final'!#REF!),"")</f>
        <v>#REF!</v>
      </c>
      <c r="R49" s="68" t="str">
        <f>IF(AND('Mapa final'!$AA$23="Muy Baja",'Mapa final'!$AC$23="Menor"),CONCATENATE("R4C",'Mapa final'!$Q$23),"")</f>
        <v/>
      </c>
      <c r="S49" s="68" t="str">
        <f>IF(AND('Mapa final'!$AA$24="Muy Baja",'Mapa final'!$AC$24="Menor"),CONCATENATE("R4C",'Mapa final'!$Q$24),"")</f>
        <v/>
      </c>
      <c r="T49" s="68" t="e">
        <f>IF(AND('Mapa final'!#REF!="Muy Baja",'Mapa final'!#REF!="Menor"),CONCATENATE("R4C",'Mapa final'!#REF!),"")</f>
        <v>#REF!</v>
      </c>
      <c r="U49" s="69" t="str">
        <f>IF(AND('Mapa final'!$AA$25="Muy Baja",'Mapa final'!$AC$25="Menor"),CONCATENATE("R4C",'Mapa final'!$Q$25),"")</f>
        <v/>
      </c>
      <c r="V49" s="58" t="e">
        <f>IF(AND('Mapa final'!#REF!="Muy Baja",'Mapa final'!#REF!="Moderado"),CONCATENATE("R4C",'Mapa final'!#REF!),"")</f>
        <v>#REF!</v>
      </c>
      <c r="W49" s="59" t="e">
        <f>IF(AND('Mapa final'!#REF!="Muy Baja",'Mapa final'!#REF!="Moderado"),CONCATENATE("R4C",'Mapa final'!#REF!),"")</f>
        <v>#REF!</v>
      </c>
      <c r="X49" s="59" t="str">
        <f>IF(AND('Mapa final'!$AA$23="Muy Baja",'Mapa final'!$AC$23="Moderado"),CONCATENATE("R4C",'Mapa final'!$Q$23),"")</f>
        <v/>
      </c>
      <c r="Y49" s="59" t="str">
        <f>IF(AND('Mapa final'!$AA$24="Muy Baja",'Mapa final'!$AC$24="Moderado"),CONCATENATE("R4C",'Mapa final'!$Q$24),"")</f>
        <v/>
      </c>
      <c r="Z49" s="59" t="e">
        <f>IF(AND('Mapa final'!#REF!="Muy Baja",'Mapa final'!#REF!="Moderado"),CONCATENATE("R4C",'Mapa final'!#REF!),"")</f>
        <v>#REF!</v>
      </c>
      <c r="AA49" s="60" t="str">
        <f>IF(AND('Mapa final'!$AA$25="Muy Baja",'Mapa final'!$AC$25="Moderado"),CONCATENATE("R4C",'Mapa final'!$Q$25),"")</f>
        <v/>
      </c>
      <c r="AB49" s="43" t="e">
        <f>IF(AND('Mapa final'!#REF!="Muy Baja",'Mapa final'!#REF!="Mayor"),CONCATENATE("R4C",'Mapa final'!#REF!),"")</f>
        <v>#REF!</v>
      </c>
      <c r="AC49" s="44" t="e">
        <f>IF(AND('Mapa final'!#REF!="Muy Baja",'Mapa final'!#REF!="Mayor"),CONCATENATE("R4C",'Mapa final'!#REF!),"")</f>
        <v>#REF!</v>
      </c>
      <c r="AD49" s="44" t="str">
        <f>IF(AND('Mapa final'!$AA$23="Muy Baja",'Mapa final'!$AC$23="Mayor"),CONCATENATE("R4C",'Mapa final'!$Q$23),"")</f>
        <v/>
      </c>
      <c r="AE49" s="44" t="str">
        <f>IF(AND('Mapa final'!$AA$24="Muy Baja",'Mapa final'!$AC$24="Mayor"),CONCATENATE("R4C",'Mapa final'!$Q$24),"")</f>
        <v/>
      </c>
      <c r="AF49" s="44" t="e">
        <f>IF(AND('Mapa final'!#REF!="Muy Baja",'Mapa final'!#REF!="Mayor"),CONCATENATE("R4C",'Mapa final'!#REF!),"")</f>
        <v>#REF!</v>
      </c>
      <c r="AG49" s="45" t="str">
        <f>IF(AND('Mapa final'!$AA$25="Muy Baja",'Mapa final'!$AC$25="Mayor"),CONCATENATE("R4C",'Mapa final'!$Q$25),"")</f>
        <v/>
      </c>
      <c r="AH49" s="46" t="e">
        <f>IF(AND('Mapa final'!#REF!="Muy Baja",'Mapa final'!#REF!="Catastrófico"),CONCATENATE("R4C",'Mapa final'!#REF!),"")</f>
        <v>#REF!</v>
      </c>
      <c r="AI49" s="47" t="e">
        <f>IF(AND('Mapa final'!#REF!="Muy Baja",'Mapa final'!#REF!="Catastrófico"),CONCATENATE("R4C",'Mapa final'!#REF!),"")</f>
        <v>#REF!</v>
      </c>
      <c r="AJ49" s="47" t="str">
        <f>IF(AND('Mapa final'!$AA$23="Muy Baja",'Mapa final'!$AC$23="Catastrófico"),CONCATENATE("R4C",'Mapa final'!$Q$23),"")</f>
        <v/>
      </c>
      <c r="AK49" s="47" t="str">
        <f>IF(AND('Mapa final'!$AA$24="Muy Baja",'Mapa final'!$AC$24="Catastrófico"),CONCATENATE("R4C",'Mapa final'!$Q$24),"")</f>
        <v/>
      </c>
      <c r="AL49" s="47" t="e">
        <f>IF(AND('Mapa final'!#REF!="Muy Baja",'Mapa final'!#REF!="Catastrófico"),CONCATENATE("R4C",'Mapa final'!#REF!),"")</f>
        <v>#REF!</v>
      </c>
      <c r="AM49" s="48" t="str">
        <f>IF(AND('Mapa final'!$AA$25="Muy Baja",'Mapa final'!$AC$25="Catastrófico"),CONCATENATE("R4C",'Mapa final'!$Q$25),"")</f>
        <v/>
      </c>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row>
    <row r="50" spans="1:80" ht="15" customHeight="1" x14ac:dyDescent="0.25">
      <c r="A50" s="74"/>
      <c r="B50" s="306"/>
      <c r="C50" s="306"/>
      <c r="D50" s="307"/>
      <c r="E50" s="405"/>
      <c r="F50" s="404"/>
      <c r="G50" s="404"/>
      <c r="H50" s="404"/>
      <c r="I50" s="420"/>
      <c r="J50" s="67" t="e">
        <f>IF(AND('Mapa final'!#REF!="Muy Baja",'Mapa final'!#REF!="Leve"),CONCATENATE("R5C",'Mapa final'!#REF!),"")</f>
        <v>#REF!</v>
      </c>
      <c r="K50" s="68" t="str">
        <f>IF(AND('Mapa final'!$AA$26="Muy Baja",'Mapa final'!$AC$26="Leve"),CONCATENATE("R5C",'Mapa final'!$Q$26),"")</f>
        <v/>
      </c>
      <c r="L50" s="68" t="str">
        <f>IF(AND('Mapa final'!$AA$27="Muy Baja",'Mapa final'!$AC$27="Leve"),CONCATENATE("R5C",'Mapa final'!$Q$27),"")</f>
        <v/>
      </c>
      <c r="M50" s="68" t="str">
        <f>IF(AND('Mapa final'!$AA$28="Muy Baja",'Mapa final'!$AC$28="Leve"),CONCATENATE("R5C",'Mapa final'!$Q$28),"")</f>
        <v/>
      </c>
      <c r="N50" s="68" t="str">
        <f>IF(AND('Mapa final'!$AA$29="Muy Baja",'Mapa final'!$AC$29="Leve"),CONCATENATE("R5C",'Mapa final'!$Q$29),"")</f>
        <v/>
      </c>
      <c r="O50" s="69" t="str">
        <f>IF(AND('Mapa final'!$AA$30="Muy Baja",'Mapa final'!$AC$30="Leve"),CONCATENATE("R5C",'Mapa final'!$Q$30),"")</f>
        <v/>
      </c>
      <c r="P50" s="67" t="e">
        <f>IF(AND('Mapa final'!#REF!="Muy Baja",'Mapa final'!#REF!="Menor"),CONCATENATE("R5C",'Mapa final'!#REF!),"")</f>
        <v>#REF!</v>
      </c>
      <c r="Q50" s="68" t="str">
        <f>IF(AND('Mapa final'!$AA$26="Muy Baja",'Mapa final'!$AC$26="Menor"),CONCATENATE("R5C",'Mapa final'!$Q$26),"")</f>
        <v/>
      </c>
      <c r="R50" s="68" t="str">
        <f>IF(AND('Mapa final'!$AA$27="Muy Baja",'Mapa final'!$AC$27="Menor"),CONCATENATE("R5C",'Mapa final'!$Q$27),"")</f>
        <v/>
      </c>
      <c r="S50" s="68" t="str">
        <f>IF(AND('Mapa final'!$AA$28="Muy Baja",'Mapa final'!$AC$28="Menor"),CONCATENATE("R5C",'Mapa final'!$Q$28),"")</f>
        <v/>
      </c>
      <c r="T50" s="68" t="str">
        <f>IF(AND('Mapa final'!$AA$29="Muy Baja",'Mapa final'!$AC$29="Menor"),CONCATENATE("R5C",'Mapa final'!$Q$29),"")</f>
        <v/>
      </c>
      <c r="U50" s="69" t="str">
        <f>IF(AND('Mapa final'!$AA$30="Muy Baja",'Mapa final'!$AC$30="Menor"),CONCATENATE("R5C",'Mapa final'!$Q$30),"")</f>
        <v/>
      </c>
      <c r="V50" s="58" t="e">
        <f>IF(AND('Mapa final'!#REF!="Muy Baja",'Mapa final'!#REF!="Moderado"),CONCATENATE("R5C",'Mapa final'!#REF!),"")</f>
        <v>#REF!</v>
      </c>
      <c r="W50" s="59" t="str">
        <f>IF(AND('Mapa final'!$AA$26="Muy Baja",'Mapa final'!$AC$26="Moderado"),CONCATENATE("R5C",'Mapa final'!$Q$26),"")</f>
        <v>R5C2</v>
      </c>
      <c r="X50" s="59" t="str">
        <f>IF(AND('Mapa final'!$AA$27="Muy Baja",'Mapa final'!$AC$27="Moderado"),CONCATENATE("R5C",'Mapa final'!$Q$27),"")</f>
        <v/>
      </c>
      <c r="Y50" s="59" t="str">
        <f>IF(AND('Mapa final'!$AA$28="Muy Baja",'Mapa final'!$AC$28="Moderado"),CONCATENATE("R5C",'Mapa final'!$Q$28),"")</f>
        <v>R5C3</v>
      </c>
      <c r="Z50" s="59" t="str">
        <f>IF(AND('Mapa final'!$AA$29="Muy Baja",'Mapa final'!$AC$29="Moderado"),CONCATENATE("R5C",'Mapa final'!$Q$29),"")</f>
        <v>R5C1</v>
      </c>
      <c r="AA50" s="60" t="str">
        <f>IF(AND('Mapa final'!$AA$30="Muy Baja",'Mapa final'!$AC$30="Moderado"),CONCATENATE("R5C",'Mapa final'!$Q$30),"")</f>
        <v/>
      </c>
      <c r="AB50" s="43" t="e">
        <f>IF(AND('Mapa final'!#REF!="Muy Baja",'Mapa final'!#REF!="Mayor"),CONCATENATE("R5C",'Mapa final'!#REF!),"")</f>
        <v>#REF!</v>
      </c>
      <c r="AC50" s="44" t="str">
        <f>IF(AND('Mapa final'!$AA$26="Muy Baja",'Mapa final'!$AC$26="Mayor"),CONCATENATE("R5C",'Mapa final'!$Q$26),"")</f>
        <v/>
      </c>
      <c r="AD50" s="44" t="str">
        <f>IF(AND('Mapa final'!$AA$27="Muy Baja",'Mapa final'!$AC$27="Mayor"),CONCATENATE("R5C",'Mapa final'!$Q$27),"")</f>
        <v>R5C2</v>
      </c>
      <c r="AE50" s="44" t="str">
        <f>IF(AND('Mapa final'!$AA$28="Muy Baja",'Mapa final'!$AC$28="Mayor"),CONCATENATE("R5C",'Mapa final'!$Q$28),"")</f>
        <v/>
      </c>
      <c r="AF50" s="44" t="str">
        <f>IF(AND('Mapa final'!$AA$29="Muy Baja",'Mapa final'!$AC$29="Mayor"),CONCATENATE("R5C",'Mapa final'!$Q$29),"")</f>
        <v/>
      </c>
      <c r="AG50" s="45" t="str">
        <f>IF(AND('Mapa final'!$AA$30="Muy Baja",'Mapa final'!$AC$30="Mayor"),CONCATENATE("R5C",'Mapa final'!$Q$30),"")</f>
        <v>R5C2</v>
      </c>
      <c r="AH50" s="46" t="e">
        <f>IF(AND('Mapa final'!#REF!="Muy Baja",'Mapa final'!#REF!="Catastrófico"),CONCATENATE("R5C",'Mapa final'!#REF!),"")</f>
        <v>#REF!</v>
      </c>
      <c r="AI50" s="47" t="str">
        <f>IF(AND('Mapa final'!$AA$26="Muy Baja",'Mapa final'!$AC$26="Catastrófico"),CONCATENATE("R5C",'Mapa final'!$Q$26),"")</f>
        <v/>
      </c>
      <c r="AJ50" s="47" t="str">
        <f>IF(AND('Mapa final'!$AA$27="Muy Baja",'Mapa final'!$AC$27="Catastrófico"),CONCATENATE("R5C",'Mapa final'!$Q$27),"")</f>
        <v/>
      </c>
      <c r="AK50" s="47" t="str">
        <f>IF(AND('Mapa final'!$AA$28="Muy Baja",'Mapa final'!$AC$28="Catastrófico"),CONCATENATE("R5C",'Mapa final'!$Q$28),"")</f>
        <v/>
      </c>
      <c r="AL50" s="47" t="str">
        <f>IF(AND('Mapa final'!$AA$29="Muy Baja",'Mapa final'!$AC$29="Catastrófico"),CONCATENATE("R5C",'Mapa final'!$Q$29),"")</f>
        <v/>
      </c>
      <c r="AM50" s="48" t="str">
        <f>IF(AND('Mapa final'!$AA$30="Muy Baja",'Mapa final'!$AC$30="Catastrófico"),CONCATENATE("R5C",'Mapa final'!$Q$30),"")</f>
        <v/>
      </c>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row>
    <row r="51" spans="1:80" ht="15" customHeight="1" x14ac:dyDescent="0.25">
      <c r="A51" s="74"/>
      <c r="B51" s="306"/>
      <c r="C51" s="306"/>
      <c r="D51" s="307"/>
      <c r="E51" s="405"/>
      <c r="F51" s="404"/>
      <c r="G51" s="404"/>
      <c r="H51" s="404"/>
      <c r="I51" s="420"/>
      <c r="J51" s="67" t="str">
        <f>IF(AND('Mapa final'!$AA$32="Muy Baja",'Mapa final'!$AC$32="Leve"),CONCATENATE("R6C",'Mapa final'!$Q$32),"")</f>
        <v/>
      </c>
      <c r="K51" s="68" t="e">
        <f>IF(AND('Mapa final'!#REF!="Muy Baja",'Mapa final'!#REF!="Leve"),CONCATENATE("R6C",'Mapa final'!#REF!),"")</f>
        <v>#REF!</v>
      </c>
      <c r="L51" s="68" t="e">
        <f>IF(AND('Mapa final'!#REF!="Muy Baja",'Mapa final'!#REF!="Leve"),CONCATENATE("R6C",'Mapa final'!#REF!),"")</f>
        <v>#REF!</v>
      </c>
      <c r="M51" s="68" t="e">
        <f>IF(AND('Mapa final'!#REF!="Muy Baja",'Mapa final'!#REF!="Leve"),CONCATENATE("R6C",'Mapa final'!#REF!),"")</f>
        <v>#REF!</v>
      </c>
      <c r="N51" s="68" t="str">
        <f>IF(AND('Mapa final'!$AA$34="Muy Baja",'Mapa final'!$AC$34="Leve"),CONCATENATE("R6C",'Mapa final'!$Q$34),"")</f>
        <v/>
      </c>
      <c r="O51" s="69" t="e">
        <f>IF(AND('Mapa final'!#REF!="Muy Baja",'Mapa final'!#REF!="Leve"),CONCATENATE("R6C",'Mapa final'!#REF!),"")</f>
        <v>#REF!</v>
      </c>
      <c r="P51" s="67" t="str">
        <f>IF(AND('Mapa final'!$AA$32="Muy Baja",'Mapa final'!$AC$32="Menor"),CONCATENATE("R6C",'Mapa final'!$Q$32),"")</f>
        <v/>
      </c>
      <c r="Q51" s="68" t="e">
        <f>IF(AND('Mapa final'!#REF!="Muy Baja",'Mapa final'!#REF!="Menor"),CONCATENATE("R6C",'Mapa final'!#REF!),"")</f>
        <v>#REF!</v>
      </c>
      <c r="R51" s="68" t="e">
        <f>IF(AND('Mapa final'!#REF!="Muy Baja",'Mapa final'!#REF!="Menor"),CONCATENATE("R6C",'Mapa final'!#REF!),"")</f>
        <v>#REF!</v>
      </c>
      <c r="S51" s="68" t="e">
        <f>IF(AND('Mapa final'!#REF!="Muy Baja",'Mapa final'!#REF!="Menor"),CONCATENATE("R6C",'Mapa final'!#REF!),"")</f>
        <v>#REF!</v>
      </c>
      <c r="T51" s="68" t="str">
        <f>IF(AND('Mapa final'!$AA$34="Muy Baja",'Mapa final'!$AC$34="Menor"),CONCATENATE("R6C",'Mapa final'!$Q$34),"")</f>
        <v/>
      </c>
      <c r="U51" s="69" t="e">
        <f>IF(AND('Mapa final'!#REF!="Muy Baja",'Mapa final'!#REF!="Menor"),CONCATENATE("R6C",'Mapa final'!#REF!),"")</f>
        <v>#REF!</v>
      </c>
      <c r="V51" s="58" t="str">
        <f>IF(AND('Mapa final'!$AA$32="Muy Baja",'Mapa final'!$AC$32="Moderado"),CONCATENATE("R6C",'Mapa final'!$Q$32),"")</f>
        <v/>
      </c>
      <c r="W51" s="59" t="e">
        <f>IF(AND('Mapa final'!#REF!="Muy Baja",'Mapa final'!#REF!="Moderado"),CONCATENATE("R6C",'Mapa final'!#REF!),"")</f>
        <v>#REF!</v>
      </c>
      <c r="X51" s="59" t="e">
        <f>IF(AND('Mapa final'!#REF!="Muy Baja",'Mapa final'!#REF!="Moderado"),CONCATENATE("R6C",'Mapa final'!#REF!),"")</f>
        <v>#REF!</v>
      </c>
      <c r="Y51" s="59" t="e">
        <f>IF(AND('Mapa final'!#REF!="Muy Baja",'Mapa final'!#REF!="Moderado"),CONCATENATE("R6C",'Mapa final'!#REF!),"")</f>
        <v>#REF!</v>
      </c>
      <c r="Z51" s="59" t="str">
        <f>IF(AND('Mapa final'!$AA$34="Muy Baja",'Mapa final'!$AC$34="Moderado"),CONCATENATE("R6C",'Mapa final'!$Q$34),"")</f>
        <v/>
      </c>
      <c r="AA51" s="60" t="e">
        <f>IF(AND('Mapa final'!#REF!="Muy Baja",'Mapa final'!#REF!="Moderado"),CONCATENATE("R6C",'Mapa final'!#REF!),"")</f>
        <v>#REF!</v>
      </c>
      <c r="AB51" s="43" t="str">
        <f>IF(AND('Mapa final'!$AA$32="Muy Baja",'Mapa final'!$AC$32="Mayor"),CONCATENATE("R6C",'Mapa final'!$Q$32),"")</f>
        <v/>
      </c>
      <c r="AC51" s="44" t="e">
        <f>IF(AND('Mapa final'!#REF!="Muy Baja",'Mapa final'!#REF!="Mayor"),CONCATENATE("R6C",'Mapa final'!#REF!),"")</f>
        <v>#REF!</v>
      </c>
      <c r="AD51" s="44" t="e">
        <f>IF(AND('Mapa final'!#REF!="Muy Baja",'Mapa final'!#REF!="Mayor"),CONCATENATE("R6C",'Mapa final'!#REF!),"")</f>
        <v>#REF!</v>
      </c>
      <c r="AE51" s="44" t="e">
        <f>IF(AND('Mapa final'!#REF!="Muy Baja",'Mapa final'!#REF!="Mayor"),CONCATENATE("R6C",'Mapa final'!#REF!),"")</f>
        <v>#REF!</v>
      </c>
      <c r="AF51" s="44" t="str">
        <f>IF(AND('Mapa final'!$AA$34="Muy Baja",'Mapa final'!$AC$34="Mayor"),CONCATENATE("R6C",'Mapa final'!$Q$34),"")</f>
        <v/>
      </c>
      <c r="AG51" s="45" t="e">
        <f>IF(AND('Mapa final'!#REF!="Muy Baja",'Mapa final'!#REF!="Mayor"),CONCATENATE("R6C",'Mapa final'!#REF!),"")</f>
        <v>#REF!</v>
      </c>
      <c r="AH51" s="46" t="str">
        <f>IF(AND('Mapa final'!$AA$32="Muy Baja",'Mapa final'!$AC$32="Catastrófico"),CONCATENATE("R6C",'Mapa final'!$Q$32),"")</f>
        <v/>
      </c>
      <c r="AI51" s="47" t="e">
        <f>IF(AND('Mapa final'!#REF!="Muy Baja",'Mapa final'!#REF!="Catastrófico"),CONCATENATE("R6C",'Mapa final'!#REF!),"")</f>
        <v>#REF!</v>
      </c>
      <c r="AJ51" s="47" t="e">
        <f>IF(AND('Mapa final'!#REF!="Muy Baja",'Mapa final'!#REF!="Catastrófico"),CONCATENATE("R6C",'Mapa final'!#REF!),"")</f>
        <v>#REF!</v>
      </c>
      <c r="AK51" s="47" t="e">
        <f>IF(AND('Mapa final'!#REF!="Muy Baja",'Mapa final'!#REF!="Catastrófico"),CONCATENATE("R6C",'Mapa final'!#REF!),"")</f>
        <v>#REF!</v>
      </c>
      <c r="AL51" s="47" t="str">
        <f>IF(AND('Mapa final'!$AA$34="Muy Baja",'Mapa final'!$AC$34="Catastrófico"),CONCATENATE("R6C",'Mapa final'!$Q$34),"")</f>
        <v/>
      </c>
      <c r="AM51" s="48" t="e">
        <f>IF(AND('Mapa final'!#REF!="Muy Baja",'Mapa final'!#REF!="Catastrófico"),CONCATENATE("R6C",'Mapa final'!#REF!),"")</f>
        <v>#REF!</v>
      </c>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row>
    <row r="52" spans="1:80" ht="15" customHeight="1" x14ac:dyDescent="0.25">
      <c r="A52" s="74"/>
      <c r="B52" s="306"/>
      <c r="C52" s="306"/>
      <c r="D52" s="307"/>
      <c r="E52" s="405"/>
      <c r="F52" s="404"/>
      <c r="G52" s="404"/>
      <c r="H52" s="404"/>
      <c r="I52" s="420"/>
      <c r="J52" s="67" t="e">
        <f>IF(AND('Mapa final'!#REF!="Muy Baja",'Mapa final'!#REF!="Leve"),CONCATENATE("R7C",'Mapa final'!#REF!),"")</f>
        <v>#REF!</v>
      </c>
      <c r="K52" s="68" t="str">
        <f>IF(AND('Mapa final'!$AA$39="Muy Baja",'Mapa final'!$AC$39="Leve"),CONCATENATE("R7C",'Mapa final'!$Q$39),"")</f>
        <v/>
      </c>
      <c r="L52" s="68" t="str">
        <f>IF(AND('Mapa final'!$AA$40="Muy Baja",'Mapa final'!$AC$40="Leve"),CONCATENATE("R7C",'Mapa final'!$Q$40),"")</f>
        <v/>
      </c>
      <c r="M52" s="68" t="e">
        <f>IF(AND('Mapa final'!#REF!="Muy Baja",'Mapa final'!#REF!="Leve"),CONCATENATE("R7C",'Mapa final'!#REF!),"")</f>
        <v>#REF!</v>
      </c>
      <c r="N52" s="68" t="e">
        <f>IF(AND('Mapa final'!#REF!="Muy Baja",'Mapa final'!#REF!="Leve"),CONCATENATE("R7C",'Mapa final'!#REF!),"")</f>
        <v>#REF!</v>
      </c>
      <c r="O52" s="69" t="e">
        <f>IF(AND('Mapa final'!#REF!="Muy Baja",'Mapa final'!#REF!="Leve"),CONCATENATE("R7C",'Mapa final'!#REF!),"")</f>
        <v>#REF!</v>
      </c>
      <c r="P52" s="67" t="e">
        <f>IF(AND('Mapa final'!#REF!="Muy Baja",'Mapa final'!#REF!="Menor"),CONCATENATE("R7C",'Mapa final'!#REF!),"")</f>
        <v>#REF!</v>
      </c>
      <c r="Q52" s="68" t="str">
        <f>IF(AND('Mapa final'!$AA$39="Muy Baja",'Mapa final'!$AC$39="Menor"),CONCATENATE("R7C",'Mapa final'!$Q$39),"")</f>
        <v/>
      </c>
      <c r="R52" s="68" t="str">
        <f>IF(AND('Mapa final'!$AA$40="Muy Baja",'Mapa final'!$AC$40="Menor"),CONCATENATE("R7C",'Mapa final'!$Q$40),"")</f>
        <v/>
      </c>
      <c r="S52" s="68" t="e">
        <f>IF(AND('Mapa final'!#REF!="Muy Baja",'Mapa final'!#REF!="Menor"),CONCATENATE("R7C",'Mapa final'!#REF!),"")</f>
        <v>#REF!</v>
      </c>
      <c r="T52" s="68" t="e">
        <f>IF(AND('Mapa final'!#REF!="Muy Baja",'Mapa final'!#REF!="Menor"),CONCATENATE("R7C",'Mapa final'!#REF!),"")</f>
        <v>#REF!</v>
      </c>
      <c r="U52" s="69" t="e">
        <f>IF(AND('Mapa final'!#REF!="Muy Baja",'Mapa final'!#REF!="Menor"),CONCATENATE("R7C",'Mapa final'!#REF!),"")</f>
        <v>#REF!</v>
      </c>
      <c r="V52" s="58" t="e">
        <f>IF(AND('Mapa final'!#REF!="Muy Baja",'Mapa final'!#REF!="Moderado"),CONCATENATE("R7C",'Mapa final'!#REF!),"")</f>
        <v>#REF!</v>
      </c>
      <c r="W52" s="59" t="str">
        <f>IF(AND('Mapa final'!$AA$39="Muy Baja",'Mapa final'!$AC$39="Moderado"),CONCATENATE("R7C",'Mapa final'!$Q$39),"")</f>
        <v/>
      </c>
      <c r="X52" s="59" t="str">
        <f>IF(AND('Mapa final'!$AA$40="Muy Baja",'Mapa final'!$AC$40="Moderado"),CONCATENATE("R7C",'Mapa final'!$Q$40),"")</f>
        <v/>
      </c>
      <c r="Y52" s="59" t="e">
        <f>IF(AND('Mapa final'!#REF!="Muy Baja",'Mapa final'!#REF!="Moderado"),CONCATENATE("R7C",'Mapa final'!#REF!),"")</f>
        <v>#REF!</v>
      </c>
      <c r="Z52" s="59" t="e">
        <f>IF(AND('Mapa final'!#REF!="Muy Baja",'Mapa final'!#REF!="Moderado"),CONCATENATE("R7C",'Mapa final'!#REF!),"")</f>
        <v>#REF!</v>
      </c>
      <c r="AA52" s="60" t="e">
        <f>IF(AND('Mapa final'!#REF!="Muy Baja",'Mapa final'!#REF!="Moderado"),CONCATENATE("R7C",'Mapa final'!#REF!),"")</f>
        <v>#REF!</v>
      </c>
      <c r="AB52" s="43" t="e">
        <f>IF(AND('Mapa final'!#REF!="Muy Baja",'Mapa final'!#REF!="Mayor"),CONCATENATE("R7C",'Mapa final'!#REF!),"")</f>
        <v>#REF!</v>
      </c>
      <c r="AC52" s="44" t="str">
        <f>IF(AND('Mapa final'!$AA$39="Muy Baja",'Mapa final'!$AC$39="Mayor"),CONCATENATE("R7C",'Mapa final'!$Q$39),"")</f>
        <v/>
      </c>
      <c r="AD52" s="44" t="str">
        <f>IF(AND('Mapa final'!$AA$40="Muy Baja",'Mapa final'!$AC$40="Mayor"),CONCATENATE("R7C",'Mapa final'!$Q$40),"")</f>
        <v/>
      </c>
      <c r="AE52" s="44" t="e">
        <f>IF(AND('Mapa final'!#REF!="Muy Baja",'Mapa final'!#REF!="Mayor"),CONCATENATE("R7C",'Mapa final'!#REF!),"")</f>
        <v>#REF!</v>
      </c>
      <c r="AF52" s="44" t="e">
        <f>IF(AND('Mapa final'!#REF!="Muy Baja",'Mapa final'!#REF!="Mayor"),CONCATENATE("R7C",'Mapa final'!#REF!),"")</f>
        <v>#REF!</v>
      </c>
      <c r="AG52" s="45" t="e">
        <f>IF(AND('Mapa final'!#REF!="Muy Baja",'Mapa final'!#REF!="Mayor"),CONCATENATE("R7C",'Mapa final'!#REF!),"")</f>
        <v>#REF!</v>
      </c>
      <c r="AH52" s="46" t="e">
        <f>IF(AND('Mapa final'!#REF!="Muy Baja",'Mapa final'!#REF!="Catastrófico"),CONCATENATE("R7C",'Mapa final'!#REF!),"")</f>
        <v>#REF!</v>
      </c>
      <c r="AI52" s="47" t="str">
        <f>IF(AND('Mapa final'!$AA$39="Muy Baja",'Mapa final'!$AC$39="Catastrófico"),CONCATENATE("R7C",'Mapa final'!$Q$39),"")</f>
        <v/>
      </c>
      <c r="AJ52" s="47" t="str">
        <f>IF(AND('Mapa final'!$AA$40="Muy Baja",'Mapa final'!$AC$40="Catastrófico"),CONCATENATE("R7C",'Mapa final'!$Q$40),"")</f>
        <v/>
      </c>
      <c r="AK52" s="47" t="e">
        <f>IF(AND('Mapa final'!#REF!="Muy Baja",'Mapa final'!#REF!="Catastrófico"),CONCATENATE("R7C",'Mapa final'!#REF!),"")</f>
        <v>#REF!</v>
      </c>
      <c r="AL52" s="47" t="e">
        <f>IF(AND('Mapa final'!#REF!="Muy Baja",'Mapa final'!#REF!="Catastrófico"),CONCATENATE("R7C",'Mapa final'!#REF!),"")</f>
        <v>#REF!</v>
      </c>
      <c r="AM52" s="48" t="e">
        <f>IF(AND('Mapa final'!#REF!="Muy Baja",'Mapa final'!#REF!="Catastrófico"),CONCATENATE("R7C",'Mapa final'!#REF!),"")</f>
        <v>#REF!</v>
      </c>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row>
    <row r="53" spans="1:80" ht="15" customHeight="1" x14ac:dyDescent="0.25">
      <c r="A53" s="74"/>
      <c r="B53" s="306"/>
      <c r="C53" s="306"/>
      <c r="D53" s="307"/>
      <c r="E53" s="405"/>
      <c r="F53" s="404"/>
      <c r="G53" s="404"/>
      <c r="H53" s="404"/>
      <c r="I53" s="420"/>
      <c r="J53" s="67" t="e">
        <f>IF(AND('Mapa final'!#REF!="Muy Baja",'Mapa final'!#REF!="Leve"),CONCATENATE("R8C",'Mapa final'!#REF!),"")</f>
        <v>#REF!</v>
      </c>
      <c r="K53" s="68" t="e">
        <f>IF(AND('Mapa final'!#REF!="Muy Baja",'Mapa final'!#REF!="Leve"),CONCATENATE("R8C",'Mapa final'!#REF!),"")</f>
        <v>#REF!</v>
      </c>
      <c r="L53" s="68" t="e">
        <f>IF(AND('Mapa final'!#REF!="Muy Baja",'Mapa final'!#REF!="Leve"),CONCATENATE("R8C",'Mapa final'!#REF!),"")</f>
        <v>#REF!</v>
      </c>
      <c r="M53" s="68" t="str">
        <f>IF(AND('Mapa final'!$AA$41="Muy Baja",'Mapa final'!$AC$41="Leve"),CONCATENATE("R8C",'Mapa final'!$Q$41),"")</f>
        <v/>
      </c>
      <c r="N53" s="68" t="e">
        <f>IF(AND('Mapa final'!#REF!="Muy Baja",'Mapa final'!#REF!="Leve"),CONCATENATE("R8C",'Mapa final'!#REF!),"")</f>
        <v>#REF!</v>
      </c>
      <c r="O53" s="69" t="e">
        <f>IF(AND('Mapa final'!#REF!="Muy Baja",'Mapa final'!#REF!="Leve"),CONCATENATE("R8C",'Mapa final'!#REF!),"")</f>
        <v>#REF!</v>
      </c>
      <c r="P53" s="67" t="e">
        <f>IF(AND('Mapa final'!#REF!="Muy Baja",'Mapa final'!#REF!="Menor"),CONCATENATE("R8C",'Mapa final'!#REF!),"")</f>
        <v>#REF!</v>
      </c>
      <c r="Q53" s="68" t="e">
        <f>IF(AND('Mapa final'!#REF!="Muy Baja",'Mapa final'!#REF!="Menor"),CONCATENATE("R8C",'Mapa final'!#REF!),"")</f>
        <v>#REF!</v>
      </c>
      <c r="R53" s="68" t="e">
        <f>IF(AND('Mapa final'!#REF!="Muy Baja",'Mapa final'!#REF!="Menor"),CONCATENATE("R8C",'Mapa final'!#REF!),"")</f>
        <v>#REF!</v>
      </c>
      <c r="S53" s="68" t="str">
        <f>IF(AND('Mapa final'!$AA$41="Muy Baja",'Mapa final'!$AC$41="Menor"),CONCATENATE("R8C",'Mapa final'!$Q$41),"")</f>
        <v/>
      </c>
      <c r="T53" s="68" t="e">
        <f>IF(AND('Mapa final'!#REF!="Muy Baja",'Mapa final'!#REF!="Menor"),CONCATENATE("R8C",'Mapa final'!#REF!),"")</f>
        <v>#REF!</v>
      </c>
      <c r="U53" s="69" t="e">
        <f>IF(AND('Mapa final'!#REF!="Muy Baja",'Mapa final'!#REF!="Menor"),CONCATENATE("R8C",'Mapa final'!#REF!),"")</f>
        <v>#REF!</v>
      </c>
      <c r="V53" s="58" t="e">
        <f>IF(AND('Mapa final'!#REF!="Muy Baja",'Mapa final'!#REF!="Moderado"),CONCATENATE("R8C",'Mapa final'!#REF!),"")</f>
        <v>#REF!</v>
      </c>
      <c r="W53" s="59" t="e">
        <f>IF(AND('Mapa final'!#REF!="Muy Baja",'Mapa final'!#REF!="Moderado"),CONCATENATE("R8C",'Mapa final'!#REF!),"")</f>
        <v>#REF!</v>
      </c>
      <c r="X53" s="59" t="e">
        <f>IF(AND('Mapa final'!#REF!="Muy Baja",'Mapa final'!#REF!="Moderado"),CONCATENATE("R8C",'Mapa final'!#REF!),"")</f>
        <v>#REF!</v>
      </c>
      <c r="Y53" s="59" t="str">
        <f>IF(AND('Mapa final'!$AA$41="Muy Baja",'Mapa final'!$AC$41="Moderado"),CONCATENATE("R8C",'Mapa final'!$Q$41),"")</f>
        <v/>
      </c>
      <c r="Z53" s="59" t="e">
        <f>IF(AND('Mapa final'!#REF!="Muy Baja",'Mapa final'!#REF!="Moderado"),CONCATENATE("R8C",'Mapa final'!#REF!),"")</f>
        <v>#REF!</v>
      </c>
      <c r="AA53" s="60" t="e">
        <f>IF(AND('Mapa final'!#REF!="Muy Baja",'Mapa final'!#REF!="Moderado"),CONCATENATE("R8C",'Mapa final'!#REF!),"")</f>
        <v>#REF!</v>
      </c>
      <c r="AB53" s="43" t="e">
        <f>IF(AND('Mapa final'!#REF!="Muy Baja",'Mapa final'!#REF!="Mayor"),CONCATENATE("R8C",'Mapa final'!#REF!),"")</f>
        <v>#REF!</v>
      </c>
      <c r="AC53" s="44" t="e">
        <f>IF(AND('Mapa final'!#REF!="Muy Baja",'Mapa final'!#REF!="Mayor"),CONCATENATE("R8C",'Mapa final'!#REF!),"")</f>
        <v>#REF!</v>
      </c>
      <c r="AD53" s="44" t="e">
        <f>IF(AND('Mapa final'!#REF!="Muy Baja",'Mapa final'!#REF!="Mayor"),CONCATENATE("R8C",'Mapa final'!#REF!),"")</f>
        <v>#REF!</v>
      </c>
      <c r="AE53" s="44" t="str">
        <f>IF(AND('Mapa final'!$AA$41="Muy Baja",'Mapa final'!$AC$41="Mayor"),CONCATENATE("R8C",'Mapa final'!$Q$41),"")</f>
        <v/>
      </c>
      <c r="AF53" s="44" t="e">
        <f>IF(AND('Mapa final'!#REF!="Muy Baja",'Mapa final'!#REF!="Mayor"),CONCATENATE("R8C",'Mapa final'!#REF!),"")</f>
        <v>#REF!</v>
      </c>
      <c r="AG53" s="45" t="e">
        <f>IF(AND('Mapa final'!#REF!="Muy Baja",'Mapa final'!#REF!="Mayor"),CONCATENATE("R8C",'Mapa final'!#REF!),"")</f>
        <v>#REF!</v>
      </c>
      <c r="AH53" s="46" t="e">
        <f>IF(AND('Mapa final'!#REF!="Muy Baja",'Mapa final'!#REF!="Catastrófico"),CONCATENATE("R8C",'Mapa final'!#REF!),"")</f>
        <v>#REF!</v>
      </c>
      <c r="AI53" s="47" t="e">
        <f>IF(AND('Mapa final'!#REF!="Muy Baja",'Mapa final'!#REF!="Catastrófico"),CONCATENATE("R8C",'Mapa final'!#REF!),"")</f>
        <v>#REF!</v>
      </c>
      <c r="AJ53" s="47" t="e">
        <f>IF(AND('Mapa final'!#REF!="Muy Baja",'Mapa final'!#REF!="Catastrófico"),CONCATENATE("R8C",'Mapa final'!#REF!),"")</f>
        <v>#REF!</v>
      </c>
      <c r="AK53" s="47" t="str">
        <f>IF(AND('Mapa final'!$AA$41="Muy Baja",'Mapa final'!$AC$41="Catastrófico"),CONCATENATE("R8C",'Mapa final'!$Q$41),"")</f>
        <v/>
      </c>
      <c r="AL53" s="47" t="e">
        <f>IF(AND('Mapa final'!#REF!="Muy Baja",'Mapa final'!#REF!="Catastrófico"),CONCATENATE("R8C",'Mapa final'!#REF!),"")</f>
        <v>#REF!</v>
      </c>
      <c r="AM53" s="48" t="e">
        <f>IF(AND('Mapa final'!#REF!="Muy Baja",'Mapa final'!#REF!="Catastrófico"),CONCATENATE("R8C",'Mapa final'!#REF!),"")</f>
        <v>#REF!</v>
      </c>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row>
    <row r="54" spans="1:80" ht="15" customHeight="1" x14ac:dyDescent="0.25">
      <c r="A54" s="74"/>
      <c r="B54" s="306"/>
      <c r="C54" s="306"/>
      <c r="D54" s="307"/>
      <c r="E54" s="405"/>
      <c r="F54" s="404"/>
      <c r="G54" s="404"/>
      <c r="H54" s="404"/>
      <c r="I54" s="420"/>
      <c r="J54" s="67" t="str">
        <f>IF(AND('Mapa final'!$AA$42="Muy Baja",'Mapa final'!$AC$42="Leve"),CONCATENATE("R9C",'Mapa final'!$Q$42),"")</f>
        <v/>
      </c>
      <c r="K54" s="68" t="str">
        <f>IF(AND('Mapa final'!$AA$43="Muy Baja",'Mapa final'!$AC$43="Leve"),CONCATENATE("R9C",'Mapa final'!$Q$43),"")</f>
        <v/>
      </c>
      <c r="L54" s="68" t="e">
        <f>IF(AND('Mapa final'!#REF!="Muy Baja",'Mapa final'!#REF!="Leve"),CONCATENATE("R9C",'Mapa final'!#REF!),"")</f>
        <v>#REF!</v>
      </c>
      <c r="M54" s="68" t="e">
        <f>IF(AND('Mapa final'!#REF!="Muy Baja",'Mapa final'!#REF!="Leve"),CONCATENATE("R9C",'Mapa final'!#REF!),"")</f>
        <v>#REF!</v>
      </c>
      <c r="N54" s="68" t="str">
        <f>IF(AND('Mapa final'!$AA$45="Muy Baja",'Mapa final'!$AC$45="Leve"),CONCATENATE("R9C",'Mapa final'!$Q$45),"")</f>
        <v/>
      </c>
      <c r="O54" s="69" t="e">
        <f>IF(AND('Mapa final'!#REF!="Muy Baja",'Mapa final'!#REF!="Leve"),CONCATENATE("R9C",'Mapa final'!#REF!),"")</f>
        <v>#REF!</v>
      </c>
      <c r="P54" s="67" t="str">
        <f>IF(AND('Mapa final'!$AA$42="Muy Baja",'Mapa final'!$AC$42="Menor"),CONCATENATE("R9C",'Mapa final'!$Q$42),"")</f>
        <v/>
      </c>
      <c r="Q54" s="68" t="str">
        <f>IF(AND('Mapa final'!$AA$43="Muy Baja",'Mapa final'!$AC$43="Menor"),CONCATENATE("R9C",'Mapa final'!$Q$43),"")</f>
        <v/>
      </c>
      <c r="R54" s="68" t="e">
        <f>IF(AND('Mapa final'!#REF!="Muy Baja",'Mapa final'!#REF!="Menor"),CONCATENATE("R9C",'Mapa final'!#REF!),"")</f>
        <v>#REF!</v>
      </c>
      <c r="S54" s="68" t="e">
        <f>IF(AND('Mapa final'!#REF!="Muy Baja",'Mapa final'!#REF!="Menor"),CONCATENATE("R9C",'Mapa final'!#REF!),"")</f>
        <v>#REF!</v>
      </c>
      <c r="T54" s="68" t="str">
        <f>IF(AND('Mapa final'!$AA$45="Muy Baja",'Mapa final'!$AC$45="Menor"),CONCATENATE("R9C",'Mapa final'!$Q$45),"")</f>
        <v/>
      </c>
      <c r="U54" s="69" t="e">
        <f>IF(AND('Mapa final'!#REF!="Muy Baja",'Mapa final'!#REF!="Menor"),CONCATENATE("R9C",'Mapa final'!#REF!),"")</f>
        <v>#REF!</v>
      </c>
      <c r="V54" s="58" t="str">
        <f>IF(AND('Mapa final'!$AA$42="Muy Baja",'Mapa final'!$AC$42="Moderado"),CONCATENATE("R9C",'Mapa final'!$Q$42),"")</f>
        <v/>
      </c>
      <c r="W54" s="59" t="str">
        <f>IF(AND('Mapa final'!$AA$43="Muy Baja",'Mapa final'!$AC$43="Moderado"),CONCATENATE("R9C",'Mapa final'!$Q$43),"")</f>
        <v/>
      </c>
      <c r="X54" s="59" t="e">
        <f>IF(AND('Mapa final'!#REF!="Muy Baja",'Mapa final'!#REF!="Moderado"),CONCATENATE("R9C",'Mapa final'!#REF!),"")</f>
        <v>#REF!</v>
      </c>
      <c r="Y54" s="59" t="e">
        <f>IF(AND('Mapa final'!#REF!="Muy Baja",'Mapa final'!#REF!="Moderado"),CONCATENATE("R9C",'Mapa final'!#REF!),"")</f>
        <v>#REF!</v>
      </c>
      <c r="Z54" s="59" t="str">
        <f>IF(AND('Mapa final'!$AA$45="Muy Baja",'Mapa final'!$AC$45="Moderado"),CONCATENATE("R9C",'Mapa final'!$Q$45),"")</f>
        <v/>
      </c>
      <c r="AA54" s="60" t="e">
        <f>IF(AND('Mapa final'!#REF!="Muy Baja",'Mapa final'!#REF!="Moderado"),CONCATENATE("R9C",'Mapa final'!#REF!),"")</f>
        <v>#REF!</v>
      </c>
      <c r="AB54" s="43" t="str">
        <f>IF(AND('Mapa final'!$AA$42="Muy Baja",'Mapa final'!$AC$42="Mayor"),CONCATENATE("R9C",'Mapa final'!$Q$42),"")</f>
        <v/>
      </c>
      <c r="AC54" s="44" t="str">
        <f>IF(AND('Mapa final'!$AA$43="Muy Baja",'Mapa final'!$AC$43="Mayor"),CONCATENATE("R9C",'Mapa final'!$Q$43),"")</f>
        <v/>
      </c>
      <c r="AD54" s="44" t="e">
        <f>IF(AND('Mapa final'!#REF!="Muy Baja",'Mapa final'!#REF!="Mayor"),CONCATENATE("R9C",'Mapa final'!#REF!),"")</f>
        <v>#REF!</v>
      </c>
      <c r="AE54" s="44" t="e">
        <f>IF(AND('Mapa final'!#REF!="Muy Baja",'Mapa final'!#REF!="Mayor"),CONCATENATE("R9C",'Mapa final'!#REF!),"")</f>
        <v>#REF!</v>
      </c>
      <c r="AF54" s="44" t="str">
        <f>IF(AND('Mapa final'!$AA$45="Muy Baja",'Mapa final'!$AC$45="Mayor"),CONCATENATE("R9C",'Mapa final'!$Q$45),"")</f>
        <v/>
      </c>
      <c r="AG54" s="45" t="e">
        <f>IF(AND('Mapa final'!#REF!="Muy Baja",'Mapa final'!#REF!="Mayor"),CONCATENATE("R9C",'Mapa final'!#REF!),"")</f>
        <v>#REF!</v>
      </c>
      <c r="AH54" s="46" t="str">
        <f>IF(AND('Mapa final'!$AA$42="Muy Baja",'Mapa final'!$AC$42="Catastrófico"),CONCATENATE("R9C",'Mapa final'!$Q$42),"")</f>
        <v/>
      </c>
      <c r="AI54" s="47" t="str">
        <f>IF(AND('Mapa final'!$AA$43="Muy Baja",'Mapa final'!$AC$43="Catastrófico"),CONCATENATE("R9C",'Mapa final'!$Q$43),"")</f>
        <v/>
      </c>
      <c r="AJ54" s="47" t="e">
        <f>IF(AND('Mapa final'!#REF!="Muy Baja",'Mapa final'!#REF!="Catastrófico"),CONCATENATE("R9C",'Mapa final'!#REF!),"")</f>
        <v>#REF!</v>
      </c>
      <c r="AK54" s="47" t="e">
        <f>IF(AND('Mapa final'!#REF!="Muy Baja",'Mapa final'!#REF!="Catastrófico"),CONCATENATE("R9C",'Mapa final'!#REF!),"")</f>
        <v>#REF!</v>
      </c>
      <c r="AL54" s="47" t="str">
        <f>IF(AND('Mapa final'!$AA$45="Muy Baja",'Mapa final'!$AC$45="Catastrófico"),CONCATENATE("R9C",'Mapa final'!$Q$45),"")</f>
        <v/>
      </c>
      <c r="AM54" s="48" t="e">
        <f>IF(AND('Mapa final'!#REF!="Muy Baja",'Mapa final'!#REF!="Catastrófico"),CONCATENATE("R9C",'Mapa final'!#REF!),"")</f>
        <v>#REF!</v>
      </c>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row>
    <row r="55" spans="1:80" ht="15.75" customHeight="1" thickBot="1" x14ac:dyDescent="0.3">
      <c r="A55" s="74"/>
      <c r="B55" s="306"/>
      <c r="C55" s="306"/>
      <c r="D55" s="307"/>
      <c r="E55" s="406"/>
      <c r="F55" s="407"/>
      <c r="G55" s="407"/>
      <c r="H55" s="407"/>
      <c r="I55" s="421"/>
      <c r="J55" s="70" t="e">
        <f>IF(AND('Mapa final'!#REF!="Muy Baja",'Mapa final'!#REF!="Leve"),CONCATENATE("R10C",'Mapa final'!#REF!),"")</f>
        <v>#REF!</v>
      </c>
      <c r="K55" s="71" t="str">
        <f>IF(AND('Mapa final'!$AA$46="Muy Baja",'Mapa final'!$AC$46="Leve"),CONCATENATE("R10C",'Mapa final'!$Q$46),"")</f>
        <v/>
      </c>
      <c r="L55" s="71" t="e">
        <f>IF(AND('Mapa final'!#REF!="Muy Baja",'Mapa final'!#REF!="Leve"),CONCATENATE("R10C",'Mapa final'!#REF!),"")</f>
        <v>#REF!</v>
      </c>
      <c r="M55" s="71" t="e">
        <f>IF(AND('Mapa final'!#REF!="Muy Baja",'Mapa final'!#REF!="Leve"),CONCATENATE("R10C",'Mapa final'!#REF!),"")</f>
        <v>#REF!</v>
      </c>
      <c r="N55" s="71" t="e">
        <f>IF(AND('Mapa final'!#REF!="Muy Baja",'Mapa final'!#REF!="Leve"),CONCATENATE("R10C",'Mapa final'!#REF!),"")</f>
        <v>#REF!</v>
      </c>
      <c r="O55" s="72" t="e">
        <f>IF(AND('Mapa final'!#REF!="Muy Baja",'Mapa final'!#REF!="Leve"),CONCATENATE("R10C",'Mapa final'!#REF!),"")</f>
        <v>#REF!</v>
      </c>
      <c r="P55" s="70" t="e">
        <f>IF(AND('Mapa final'!#REF!="Muy Baja",'Mapa final'!#REF!="Menor"),CONCATENATE("R10C",'Mapa final'!#REF!),"")</f>
        <v>#REF!</v>
      </c>
      <c r="Q55" s="71" t="str">
        <f>IF(AND('Mapa final'!$AA$46="Muy Baja",'Mapa final'!$AC$46="Menor"),CONCATENATE("R10C",'Mapa final'!$Q$46),"")</f>
        <v/>
      </c>
      <c r="R55" s="71" t="e">
        <f>IF(AND('Mapa final'!#REF!="Muy Baja",'Mapa final'!#REF!="Menor"),CONCATENATE("R10C",'Mapa final'!#REF!),"")</f>
        <v>#REF!</v>
      </c>
      <c r="S55" s="71" t="e">
        <f>IF(AND('Mapa final'!#REF!="Muy Baja",'Mapa final'!#REF!="Menor"),CONCATENATE("R10C",'Mapa final'!#REF!),"")</f>
        <v>#REF!</v>
      </c>
      <c r="T55" s="71" t="e">
        <f>IF(AND('Mapa final'!#REF!="Muy Baja",'Mapa final'!#REF!="Menor"),CONCATENATE("R10C",'Mapa final'!#REF!),"")</f>
        <v>#REF!</v>
      </c>
      <c r="U55" s="72" t="e">
        <f>IF(AND('Mapa final'!#REF!="Muy Baja",'Mapa final'!#REF!="Menor"),CONCATENATE("R10C",'Mapa final'!#REF!),"")</f>
        <v>#REF!</v>
      </c>
      <c r="V55" s="61" t="e">
        <f>IF(AND('Mapa final'!#REF!="Muy Baja",'Mapa final'!#REF!="Moderado"),CONCATENATE("R10C",'Mapa final'!#REF!),"")</f>
        <v>#REF!</v>
      </c>
      <c r="W55" s="62" t="str">
        <f>IF(AND('Mapa final'!$AA$46="Muy Baja",'Mapa final'!$AC$46="Moderado"),CONCATENATE("R10C",'Mapa final'!$Q$46),"")</f>
        <v/>
      </c>
      <c r="X55" s="62" t="e">
        <f>IF(AND('Mapa final'!#REF!="Muy Baja",'Mapa final'!#REF!="Moderado"),CONCATENATE("R10C",'Mapa final'!#REF!),"")</f>
        <v>#REF!</v>
      </c>
      <c r="Y55" s="62" t="e">
        <f>IF(AND('Mapa final'!#REF!="Muy Baja",'Mapa final'!#REF!="Moderado"),CONCATENATE("R10C",'Mapa final'!#REF!),"")</f>
        <v>#REF!</v>
      </c>
      <c r="Z55" s="62" t="e">
        <f>IF(AND('Mapa final'!#REF!="Muy Baja",'Mapa final'!#REF!="Moderado"),CONCATENATE("R10C",'Mapa final'!#REF!),"")</f>
        <v>#REF!</v>
      </c>
      <c r="AA55" s="63" t="e">
        <f>IF(AND('Mapa final'!#REF!="Muy Baja",'Mapa final'!#REF!="Moderado"),CONCATENATE("R10C",'Mapa final'!#REF!),"")</f>
        <v>#REF!</v>
      </c>
      <c r="AB55" s="49" t="e">
        <f>IF(AND('Mapa final'!#REF!="Muy Baja",'Mapa final'!#REF!="Mayor"),CONCATENATE("R10C",'Mapa final'!#REF!),"")</f>
        <v>#REF!</v>
      </c>
      <c r="AC55" s="50" t="str">
        <f>IF(AND('Mapa final'!$AA$46="Muy Baja",'Mapa final'!$AC$46="Mayor"),CONCATENATE("R10C",'Mapa final'!$Q$46),"")</f>
        <v/>
      </c>
      <c r="AD55" s="50" t="e">
        <f>IF(AND('Mapa final'!#REF!="Muy Baja",'Mapa final'!#REF!="Mayor"),CONCATENATE("R10C",'Mapa final'!#REF!),"")</f>
        <v>#REF!</v>
      </c>
      <c r="AE55" s="50" t="e">
        <f>IF(AND('Mapa final'!#REF!="Muy Baja",'Mapa final'!#REF!="Mayor"),CONCATENATE("R10C",'Mapa final'!#REF!),"")</f>
        <v>#REF!</v>
      </c>
      <c r="AF55" s="50" t="e">
        <f>IF(AND('Mapa final'!#REF!="Muy Baja",'Mapa final'!#REF!="Mayor"),CONCATENATE("R10C",'Mapa final'!#REF!),"")</f>
        <v>#REF!</v>
      </c>
      <c r="AG55" s="51" t="e">
        <f>IF(AND('Mapa final'!#REF!="Muy Baja",'Mapa final'!#REF!="Mayor"),CONCATENATE("R10C",'Mapa final'!#REF!),"")</f>
        <v>#REF!</v>
      </c>
      <c r="AH55" s="52" t="e">
        <f>IF(AND('Mapa final'!#REF!="Muy Baja",'Mapa final'!#REF!="Catastrófico"),CONCATENATE("R10C",'Mapa final'!#REF!),"")</f>
        <v>#REF!</v>
      </c>
      <c r="AI55" s="53" t="str">
        <f>IF(AND('Mapa final'!$AA$46="Muy Baja",'Mapa final'!$AC$46="Catastrófico"),CONCATENATE("R10C",'Mapa final'!$Q$46),"")</f>
        <v/>
      </c>
      <c r="AJ55" s="53" t="e">
        <f>IF(AND('Mapa final'!#REF!="Muy Baja",'Mapa final'!#REF!="Catastrófico"),CONCATENATE("R10C",'Mapa final'!#REF!),"")</f>
        <v>#REF!</v>
      </c>
      <c r="AK55" s="53" t="e">
        <f>IF(AND('Mapa final'!#REF!="Muy Baja",'Mapa final'!#REF!="Catastrófico"),CONCATENATE("R10C",'Mapa final'!#REF!),"")</f>
        <v>#REF!</v>
      </c>
      <c r="AL55" s="53" t="e">
        <f>IF(AND('Mapa final'!#REF!="Muy Baja",'Mapa final'!#REF!="Catastrófico"),CONCATENATE("R10C",'Mapa final'!#REF!),"")</f>
        <v>#REF!</v>
      </c>
      <c r="AM55" s="54" t="e">
        <f>IF(AND('Mapa final'!#REF!="Muy Baja",'Mapa final'!#REF!="Catastrófico"),CONCATENATE("R10C",'Mapa final'!#REF!),"")</f>
        <v>#REF!</v>
      </c>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row>
    <row r="56" spans="1:80" x14ac:dyDescent="0.25">
      <c r="A56" s="74"/>
      <c r="B56" s="74"/>
      <c r="C56" s="74"/>
      <c r="D56" s="74"/>
      <c r="E56" s="74"/>
      <c r="F56" s="74"/>
      <c r="G56" s="74"/>
      <c r="H56" s="74"/>
      <c r="I56" s="74"/>
      <c r="J56" s="401" t="s">
        <v>111</v>
      </c>
      <c r="K56" s="402"/>
      <c r="L56" s="402"/>
      <c r="M56" s="402"/>
      <c r="N56" s="402"/>
      <c r="O56" s="419"/>
      <c r="P56" s="401" t="s">
        <v>110</v>
      </c>
      <c r="Q56" s="402"/>
      <c r="R56" s="402"/>
      <c r="S56" s="402"/>
      <c r="T56" s="402"/>
      <c r="U56" s="419"/>
      <c r="V56" s="401" t="s">
        <v>109</v>
      </c>
      <c r="W56" s="402"/>
      <c r="X56" s="402"/>
      <c r="Y56" s="402"/>
      <c r="Z56" s="402"/>
      <c r="AA56" s="419"/>
      <c r="AB56" s="401" t="s">
        <v>108</v>
      </c>
      <c r="AC56" s="440"/>
      <c r="AD56" s="402"/>
      <c r="AE56" s="402"/>
      <c r="AF56" s="402"/>
      <c r="AG56" s="419"/>
      <c r="AH56" s="401" t="s">
        <v>107</v>
      </c>
      <c r="AI56" s="402"/>
      <c r="AJ56" s="402"/>
      <c r="AK56" s="402"/>
      <c r="AL56" s="402"/>
      <c r="AM56" s="419"/>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row>
    <row r="57" spans="1:80" x14ac:dyDescent="0.25">
      <c r="A57" s="74"/>
      <c r="B57" s="74"/>
      <c r="C57" s="74"/>
      <c r="D57" s="74"/>
      <c r="E57" s="74"/>
      <c r="F57" s="74"/>
      <c r="G57" s="74"/>
      <c r="H57" s="74"/>
      <c r="I57" s="74"/>
      <c r="J57" s="405"/>
      <c r="K57" s="404"/>
      <c r="L57" s="404"/>
      <c r="M57" s="404"/>
      <c r="N57" s="404"/>
      <c r="O57" s="420"/>
      <c r="P57" s="405"/>
      <c r="Q57" s="404"/>
      <c r="R57" s="404"/>
      <c r="S57" s="404"/>
      <c r="T57" s="404"/>
      <c r="U57" s="420"/>
      <c r="V57" s="405"/>
      <c r="W57" s="404"/>
      <c r="X57" s="404"/>
      <c r="Y57" s="404"/>
      <c r="Z57" s="404"/>
      <c r="AA57" s="420"/>
      <c r="AB57" s="405"/>
      <c r="AC57" s="404"/>
      <c r="AD57" s="404"/>
      <c r="AE57" s="404"/>
      <c r="AF57" s="404"/>
      <c r="AG57" s="420"/>
      <c r="AH57" s="405"/>
      <c r="AI57" s="404"/>
      <c r="AJ57" s="404"/>
      <c r="AK57" s="404"/>
      <c r="AL57" s="404"/>
      <c r="AM57" s="420"/>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row>
    <row r="58" spans="1:80" x14ac:dyDescent="0.25">
      <c r="A58" s="74"/>
      <c r="B58" s="74"/>
      <c r="C58" s="74"/>
      <c r="D58" s="74"/>
      <c r="E58" s="74"/>
      <c r="F58" s="74"/>
      <c r="G58" s="74"/>
      <c r="H58" s="74"/>
      <c r="I58" s="74"/>
      <c r="J58" s="405"/>
      <c r="K58" s="404"/>
      <c r="L58" s="404"/>
      <c r="M58" s="404"/>
      <c r="N58" s="404"/>
      <c r="O58" s="420"/>
      <c r="P58" s="405"/>
      <c r="Q58" s="404"/>
      <c r="R58" s="404"/>
      <c r="S58" s="404"/>
      <c r="T58" s="404"/>
      <c r="U58" s="420"/>
      <c r="V58" s="405"/>
      <c r="W58" s="404"/>
      <c r="X58" s="404"/>
      <c r="Y58" s="404"/>
      <c r="Z58" s="404"/>
      <c r="AA58" s="420"/>
      <c r="AB58" s="405"/>
      <c r="AC58" s="404"/>
      <c r="AD58" s="404"/>
      <c r="AE58" s="404"/>
      <c r="AF58" s="404"/>
      <c r="AG58" s="420"/>
      <c r="AH58" s="405"/>
      <c r="AI58" s="404"/>
      <c r="AJ58" s="404"/>
      <c r="AK58" s="404"/>
      <c r="AL58" s="404"/>
      <c r="AM58" s="420"/>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row>
    <row r="59" spans="1:80" x14ac:dyDescent="0.25">
      <c r="A59" s="74"/>
      <c r="B59" s="74"/>
      <c r="C59" s="74"/>
      <c r="D59" s="74"/>
      <c r="E59" s="74"/>
      <c r="F59" s="74"/>
      <c r="G59" s="74"/>
      <c r="H59" s="74"/>
      <c r="I59" s="74"/>
      <c r="J59" s="405"/>
      <c r="K59" s="404"/>
      <c r="L59" s="404"/>
      <c r="M59" s="404"/>
      <c r="N59" s="404"/>
      <c r="O59" s="420"/>
      <c r="P59" s="405"/>
      <c r="Q59" s="404"/>
      <c r="R59" s="404"/>
      <c r="S59" s="404"/>
      <c r="T59" s="404"/>
      <c r="U59" s="420"/>
      <c r="V59" s="405"/>
      <c r="W59" s="404"/>
      <c r="X59" s="404"/>
      <c r="Y59" s="404"/>
      <c r="Z59" s="404"/>
      <c r="AA59" s="420"/>
      <c r="AB59" s="405"/>
      <c r="AC59" s="404"/>
      <c r="AD59" s="404"/>
      <c r="AE59" s="404"/>
      <c r="AF59" s="404"/>
      <c r="AG59" s="420"/>
      <c r="AH59" s="405"/>
      <c r="AI59" s="404"/>
      <c r="AJ59" s="404"/>
      <c r="AK59" s="404"/>
      <c r="AL59" s="404"/>
      <c r="AM59" s="420"/>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row>
    <row r="60" spans="1:80" x14ac:dyDescent="0.25">
      <c r="A60" s="74"/>
      <c r="B60" s="74"/>
      <c r="C60" s="74"/>
      <c r="D60" s="74"/>
      <c r="E60" s="74"/>
      <c r="F60" s="74"/>
      <c r="G60" s="74"/>
      <c r="H60" s="74"/>
      <c r="I60" s="74"/>
      <c r="J60" s="405"/>
      <c r="K60" s="404"/>
      <c r="L60" s="404"/>
      <c r="M60" s="404"/>
      <c r="N60" s="404"/>
      <c r="O60" s="420"/>
      <c r="P60" s="405"/>
      <c r="Q60" s="404"/>
      <c r="R60" s="404"/>
      <c r="S60" s="404"/>
      <c r="T60" s="404"/>
      <c r="U60" s="420"/>
      <c r="V60" s="405"/>
      <c r="W60" s="404"/>
      <c r="X60" s="404"/>
      <c r="Y60" s="404"/>
      <c r="Z60" s="404"/>
      <c r="AA60" s="420"/>
      <c r="AB60" s="405"/>
      <c r="AC60" s="404"/>
      <c r="AD60" s="404"/>
      <c r="AE60" s="404"/>
      <c r="AF60" s="404"/>
      <c r="AG60" s="420"/>
      <c r="AH60" s="405"/>
      <c r="AI60" s="404"/>
      <c r="AJ60" s="404"/>
      <c r="AK60" s="404"/>
      <c r="AL60" s="404"/>
      <c r="AM60" s="420"/>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row>
    <row r="61" spans="1:80" ht="15.75" thickBot="1" x14ac:dyDescent="0.3">
      <c r="A61" s="74"/>
      <c r="B61" s="74"/>
      <c r="C61" s="74"/>
      <c r="D61" s="74"/>
      <c r="E61" s="74"/>
      <c r="F61" s="74"/>
      <c r="G61" s="74"/>
      <c r="H61" s="74"/>
      <c r="I61" s="74"/>
      <c r="J61" s="406"/>
      <c r="K61" s="407"/>
      <c r="L61" s="407"/>
      <c r="M61" s="407"/>
      <c r="N61" s="407"/>
      <c r="O61" s="421"/>
      <c r="P61" s="406"/>
      <c r="Q61" s="407"/>
      <c r="R61" s="407"/>
      <c r="S61" s="407"/>
      <c r="T61" s="407"/>
      <c r="U61" s="421"/>
      <c r="V61" s="406"/>
      <c r="W61" s="407"/>
      <c r="X61" s="407"/>
      <c r="Y61" s="407"/>
      <c r="Z61" s="407"/>
      <c r="AA61" s="421"/>
      <c r="AB61" s="406"/>
      <c r="AC61" s="407"/>
      <c r="AD61" s="407"/>
      <c r="AE61" s="407"/>
      <c r="AF61" s="407"/>
      <c r="AG61" s="421"/>
      <c r="AH61" s="406"/>
      <c r="AI61" s="407"/>
      <c r="AJ61" s="407"/>
      <c r="AK61" s="407"/>
      <c r="AL61" s="407"/>
      <c r="AM61" s="421"/>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row>
    <row r="62" spans="1:80" x14ac:dyDescent="0.25">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row>
    <row r="63" spans="1:80" ht="15" customHeight="1" x14ac:dyDescent="0.25">
      <c r="A63" s="74"/>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4"/>
      <c r="AV63" s="74"/>
      <c r="AW63" s="74"/>
      <c r="AX63" s="74"/>
      <c r="AY63" s="74"/>
      <c r="AZ63" s="74"/>
      <c r="BA63" s="74"/>
      <c r="BB63" s="74"/>
      <c r="BC63" s="74"/>
      <c r="BD63" s="74"/>
      <c r="BE63" s="74"/>
      <c r="BF63" s="74"/>
      <c r="BG63" s="74"/>
      <c r="BH63" s="74"/>
    </row>
    <row r="64" spans="1:80" ht="15" customHeight="1" x14ac:dyDescent="0.25">
      <c r="A64" s="74"/>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4"/>
      <c r="AV64" s="74"/>
      <c r="AW64" s="74"/>
      <c r="AX64" s="74"/>
      <c r="AY64" s="74"/>
      <c r="AZ64" s="74"/>
      <c r="BA64" s="74"/>
      <c r="BB64" s="74"/>
      <c r="BC64" s="74"/>
      <c r="BD64" s="74"/>
      <c r="BE64" s="74"/>
      <c r="BF64" s="74"/>
      <c r="BG64" s="74"/>
      <c r="BH64" s="74"/>
    </row>
    <row r="65" spans="1:60" x14ac:dyDescent="0.25">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row>
    <row r="66" spans="1:60" x14ac:dyDescent="0.25">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row>
    <row r="67" spans="1:60" x14ac:dyDescent="0.25">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row>
    <row r="68" spans="1:60" x14ac:dyDescent="0.25">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row>
    <row r="69" spans="1:60" x14ac:dyDescent="0.25">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row>
    <row r="70" spans="1:60" x14ac:dyDescent="0.25">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row>
    <row r="71" spans="1:60" x14ac:dyDescent="0.25">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row>
    <row r="72" spans="1:60" x14ac:dyDescent="0.25">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row>
    <row r="73" spans="1:60" x14ac:dyDescent="0.25">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row>
    <row r="74" spans="1:60" x14ac:dyDescent="0.25">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row>
    <row r="75" spans="1:60" x14ac:dyDescent="0.25">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row>
    <row r="76" spans="1:60" x14ac:dyDescent="0.25">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row>
    <row r="77" spans="1:60" x14ac:dyDescent="0.25">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row>
    <row r="78" spans="1:60" x14ac:dyDescent="0.25">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row>
    <row r="79" spans="1:60" x14ac:dyDescent="0.25">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row>
    <row r="80" spans="1:60" x14ac:dyDescent="0.25">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row>
    <row r="81" spans="1:60" x14ac:dyDescent="0.2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row>
    <row r="82" spans="1:60" x14ac:dyDescent="0.25">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row>
    <row r="83" spans="1:60" x14ac:dyDescent="0.25">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row>
    <row r="84" spans="1:60" x14ac:dyDescent="0.25">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row>
    <row r="85" spans="1:60" x14ac:dyDescent="0.25">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row>
    <row r="86" spans="1:60" x14ac:dyDescent="0.2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row>
    <row r="87" spans="1:60" x14ac:dyDescent="0.25">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row>
    <row r="88" spans="1:60" x14ac:dyDescent="0.25">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row>
    <row r="89" spans="1:60" x14ac:dyDescent="0.25">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row>
    <row r="90" spans="1:60" x14ac:dyDescent="0.25">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row>
    <row r="91" spans="1:60" x14ac:dyDescent="0.25">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row>
    <row r="92" spans="1:60" x14ac:dyDescent="0.25">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row>
    <row r="93" spans="1:60" x14ac:dyDescent="0.25">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row>
    <row r="94" spans="1:60" x14ac:dyDescent="0.25">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row>
    <row r="95" spans="1:60" x14ac:dyDescent="0.25">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row>
    <row r="96" spans="1:60" x14ac:dyDescent="0.25">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row>
    <row r="97" spans="1:60" x14ac:dyDescent="0.25">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row>
    <row r="98" spans="1:60" x14ac:dyDescent="0.25">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row>
    <row r="99" spans="1:60" x14ac:dyDescent="0.25">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row>
    <row r="100" spans="1:60" x14ac:dyDescent="0.25">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row>
    <row r="101" spans="1:60" x14ac:dyDescent="0.25">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row>
    <row r="102" spans="1:60" x14ac:dyDescent="0.25">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row>
    <row r="103" spans="1:60" x14ac:dyDescent="0.25">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row>
    <row r="104" spans="1:60" x14ac:dyDescent="0.25">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row>
    <row r="105" spans="1:60" x14ac:dyDescent="0.25">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row>
    <row r="106" spans="1:60" x14ac:dyDescent="0.25">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row>
    <row r="107" spans="1:60" x14ac:dyDescent="0.25">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row>
    <row r="108" spans="1:60" x14ac:dyDescent="0.25">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row>
    <row r="109" spans="1:60" x14ac:dyDescent="0.25">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row>
    <row r="110" spans="1:60" x14ac:dyDescent="0.25">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row>
    <row r="111" spans="1:60" x14ac:dyDescent="0.25">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row>
    <row r="112" spans="1:60" x14ac:dyDescent="0.25">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row>
    <row r="113" spans="1:60" x14ac:dyDescent="0.25">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row>
    <row r="114" spans="1:60" x14ac:dyDescent="0.25">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row>
    <row r="115" spans="1:60" x14ac:dyDescent="0.25">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row>
    <row r="116" spans="1:60" x14ac:dyDescent="0.25">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row>
    <row r="117" spans="1:60" x14ac:dyDescent="0.25">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row>
    <row r="118" spans="1:60" x14ac:dyDescent="0.25">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row>
    <row r="119" spans="1:60" x14ac:dyDescent="0.2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row>
    <row r="120" spans="1:60" x14ac:dyDescent="0.25">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row>
    <row r="121" spans="1:60" x14ac:dyDescent="0.25">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row>
    <row r="122" spans="1:60" x14ac:dyDescent="0.25">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row>
    <row r="123" spans="1:60" x14ac:dyDescent="0.25">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row>
    <row r="124" spans="1:60" x14ac:dyDescent="0.25">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row>
    <row r="125" spans="1:60" x14ac:dyDescent="0.25">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row>
    <row r="126" spans="1:60" x14ac:dyDescent="0.25">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row>
    <row r="127" spans="1:60" x14ac:dyDescent="0.25">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row>
    <row r="128" spans="1:60" x14ac:dyDescent="0.25">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row>
    <row r="129" spans="1:60" x14ac:dyDescent="0.25">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row>
    <row r="130" spans="1:60" x14ac:dyDescent="0.25">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row>
    <row r="131" spans="1:60" x14ac:dyDescent="0.25">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row>
    <row r="132" spans="1:60" x14ac:dyDescent="0.25">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row>
    <row r="133" spans="1:60" x14ac:dyDescent="0.25">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row>
    <row r="134" spans="1:60" x14ac:dyDescent="0.25">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74"/>
      <c r="BE134" s="74"/>
      <c r="BF134" s="74"/>
      <c r="BG134" s="74"/>
      <c r="BH134" s="74"/>
    </row>
    <row r="135" spans="1:60" x14ac:dyDescent="0.25">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74"/>
      <c r="BF135" s="74"/>
      <c r="BG135" s="74"/>
      <c r="BH135" s="74"/>
    </row>
    <row r="136" spans="1:60" x14ac:dyDescent="0.25">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row>
    <row r="137" spans="1:60" x14ac:dyDescent="0.25">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c r="BB137" s="74"/>
      <c r="BC137" s="74"/>
      <c r="BD137" s="74"/>
      <c r="BE137" s="74"/>
      <c r="BF137" s="74"/>
      <c r="BG137" s="74"/>
      <c r="BH137" s="74"/>
    </row>
    <row r="138" spans="1:60" x14ac:dyDescent="0.25">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c r="BE138" s="74"/>
      <c r="BF138" s="74"/>
      <c r="BG138" s="74"/>
      <c r="BH138" s="74"/>
    </row>
    <row r="139" spans="1:60" x14ac:dyDescent="0.25">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c r="AQ139" s="74"/>
      <c r="AR139" s="74"/>
      <c r="AS139" s="74"/>
      <c r="AT139" s="74"/>
      <c r="AU139" s="74"/>
      <c r="AV139" s="74"/>
      <c r="AW139" s="74"/>
      <c r="AX139" s="74"/>
      <c r="AY139" s="74"/>
      <c r="AZ139" s="74"/>
      <c r="BA139" s="74"/>
      <c r="BB139" s="74"/>
      <c r="BC139" s="74"/>
      <c r="BD139" s="74"/>
      <c r="BE139" s="74"/>
      <c r="BF139" s="74"/>
      <c r="BG139" s="74"/>
      <c r="BH139" s="74"/>
    </row>
    <row r="140" spans="1:60" x14ac:dyDescent="0.25">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row>
    <row r="141" spans="1:60" x14ac:dyDescent="0.25">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C141" s="74"/>
      <c r="BD141" s="74"/>
      <c r="BE141" s="74"/>
      <c r="BF141" s="74"/>
      <c r="BG141" s="74"/>
      <c r="BH141" s="74"/>
    </row>
    <row r="142" spans="1:60" x14ac:dyDescent="0.25">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row>
    <row r="143" spans="1:60" x14ac:dyDescent="0.25">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row>
    <row r="144" spans="1:60" x14ac:dyDescent="0.25">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row>
    <row r="145" spans="1:60" x14ac:dyDescent="0.25">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row>
    <row r="146" spans="1:60" x14ac:dyDescent="0.25">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C146" s="74"/>
      <c r="BD146" s="74"/>
      <c r="BE146" s="74"/>
      <c r="BF146" s="74"/>
      <c r="BG146" s="74"/>
      <c r="BH146" s="74"/>
    </row>
    <row r="147" spans="1:60" x14ac:dyDescent="0.25">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row>
    <row r="148" spans="1:60" x14ac:dyDescent="0.25">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row>
    <row r="149" spans="1:60" x14ac:dyDescent="0.25">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74"/>
    </row>
    <row r="150" spans="1:60" x14ac:dyDescent="0.25">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row>
    <row r="151" spans="1:60" x14ac:dyDescent="0.25">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74"/>
      <c r="AW151" s="74"/>
      <c r="AX151" s="74"/>
      <c r="AY151" s="74"/>
      <c r="AZ151" s="74"/>
      <c r="BA151" s="74"/>
      <c r="BB151" s="74"/>
      <c r="BC151" s="74"/>
      <c r="BD151" s="74"/>
      <c r="BE151" s="74"/>
      <c r="BF151" s="74"/>
      <c r="BG151" s="74"/>
      <c r="BH151" s="74"/>
    </row>
    <row r="152" spans="1:60" x14ac:dyDescent="0.25">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c r="BB152" s="74"/>
      <c r="BC152" s="74"/>
      <c r="BD152" s="74"/>
      <c r="BE152" s="74"/>
      <c r="BF152" s="74"/>
      <c r="BG152" s="74"/>
      <c r="BH152" s="74"/>
    </row>
    <row r="153" spans="1:60" x14ac:dyDescent="0.25">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74"/>
      <c r="AW153" s="74"/>
      <c r="AX153" s="74"/>
      <c r="AY153" s="74"/>
      <c r="AZ153" s="74"/>
      <c r="BA153" s="74"/>
      <c r="BB153" s="74"/>
      <c r="BC153" s="74"/>
      <c r="BD153" s="74"/>
      <c r="BE153" s="74"/>
      <c r="BF153" s="74"/>
      <c r="BG153" s="74"/>
      <c r="BH153" s="74"/>
    </row>
    <row r="154" spans="1:60" x14ac:dyDescent="0.25">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c r="BB154" s="74"/>
      <c r="BC154" s="74"/>
      <c r="BD154" s="74"/>
      <c r="BE154" s="74"/>
      <c r="BF154" s="74"/>
      <c r="BG154" s="74"/>
      <c r="BH154" s="74"/>
    </row>
    <row r="155" spans="1:60" x14ac:dyDescent="0.25">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c r="BB155" s="74"/>
      <c r="BC155" s="74"/>
      <c r="BD155" s="74"/>
      <c r="BE155" s="74"/>
      <c r="BF155" s="74"/>
      <c r="BG155" s="74"/>
      <c r="BH155" s="74"/>
    </row>
    <row r="156" spans="1:60" x14ac:dyDescent="0.25">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row>
    <row r="157" spans="1:60" x14ac:dyDescent="0.25">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4"/>
      <c r="AZ157" s="74"/>
      <c r="BA157" s="74"/>
      <c r="BB157" s="74"/>
      <c r="BC157" s="74"/>
      <c r="BD157" s="74"/>
      <c r="BE157" s="74"/>
      <c r="BF157" s="74"/>
      <c r="BG157" s="74"/>
      <c r="BH157" s="74"/>
    </row>
    <row r="158" spans="1:60" x14ac:dyDescent="0.25">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4"/>
      <c r="AZ158" s="74"/>
      <c r="BA158" s="74"/>
      <c r="BB158" s="74"/>
      <c r="BC158" s="74"/>
      <c r="BD158" s="74"/>
      <c r="BE158" s="74"/>
      <c r="BF158" s="74"/>
      <c r="BG158" s="74"/>
      <c r="BH158" s="74"/>
    </row>
    <row r="159" spans="1:60" x14ac:dyDescent="0.25">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74"/>
      <c r="AS159" s="74"/>
      <c r="AT159" s="74"/>
      <c r="AU159" s="74"/>
      <c r="AV159" s="74"/>
      <c r="AW159" s="74"/>
      <c r="AX159" s="74"/>
      <c r="AY159" s="74"/>
      <c r="AZ159" s="74"/>
      <c r="BA159" s="74"/>
      <c r="BB159" s="74"/>
      <c r="BC159" s="74"/>
      <c r="BD159" s="74"/>
      <c r="BE159" s="74"/>
      <c r="BF159" s="74"/>
      <c r="BG159" s="74"/>
      <c r="BH159" s="74"/>
    </row>
    <row r="160" spans="1:60" x14ac:dyDescent="0.25">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74"/>
      <c r="AW160" s="74"/>
      <c r="AX160" s="74"/>
      <c r="AY160" s="74"/>
      <c r="AZ160" s="74"/>
      <c r="BA160" s="74"/>
      <c r="BB160" s="74"/>
      <c r="BC160" s="74"/>
      <c r="BD160" s="74"/>
      <c r="BE160" s="74"/>
      <c r="BF160" s="74"/>
      <c r="BG160" s="74"/>
      <c r="BH160" s="74"/>
    </row>
    <row r="161" spans="1:60" x14ac:dyDescent="0.25">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1:60" x14ac:dyDescent="0.25">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row>
    <row r="163" spans="1:60" x14ac:dyDescent="0.25">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row>
    <row r="164" spans="1:60" x14ac:dyDescent="0.25">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row>
    <row r="165" spans="1:60" x14ac:dyDescent="0.25">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c r="BE165" s="74"/>
      <c r="BF165" s="74"/>
      <c r="BG165" s="74"/>
      <c r="BH165" s="74"/>
    </row>
    <row r="166" spans="1:60" x14ac:dyDescent="0.25">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74"/>
      <c r="AS166" s="74"/>
      <c r="AT166" s="74"/>
      <c r="AU166" s="74"/>
      <c r="AV166" s="74"/>
      <c r="AW166" s="74"/>
      <c r="AX166" s="74"/>
      <c r="AY166" s="74"/>
      <c r="AZ166" s="74"/>
      <c r="BA166" s="74"/>
      <c r="BB166" s="74"/>
      <c r="BC166" s="74"/>
      <c r="BD166" s="74"/>
      <c r="BE166" s="74"/>
      <c r="BF166" s="74"/>
      <c r="BG166" s="74"/>
      <c r="BH166" s="74"/>
    </row>
    <row r="167" spans="1:60" x14ac:dyDescent="0.25">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74"/>
      <c r="AW167" s="74"/>
      <c r="AX167" s="74"/>
      <c r="AY167" s="74"/>
      <c r="AZ167" s="74"/>
      <c r="BA167" s="74"/>
      <c r="BB167" s="74"/>
      <c r="BC167" s="74"/>
      <c r="BD167" s="74"/>
      <c r="BE167" s="74"/>
      <c r="BF167" s="74"/>
      <c r="BG167" s="74"/>
      <c r="BH167" s="74"/>
    </row>
    <row r="168" spans="1:60" x14ac:dyDescent="0.25">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74"/>
      <c r="AW168" s="74"/>
      <c r="AX168" s="74"/>
      <c r="AY168" s="74"/>
      <c r="AZ168" s="74"/>
      <c r="BA168" s="74"/>
      <c r="BB168" s="74"/>
      <c r="BC168" s="74"/>
      <c r="BD168" s="74"/>
      <c r="BE168" s="74"/>
      <c r="BF168" s="74"/>
      <c r="BG168" s="74"/>
      <c r="BH168" s="74"/>
    </row>
    <row r="169" spans="1:60" x14ac:dyDescent="0.25">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74"/>
      <c r="AW169" s="74"/>
      <c r="AX169" s="74"/>
      <c r="AY169" s="74"/>
      <c r="AZ169" s="74"/>
      <c r="BA169" s="74"/>
      <c r="BB169" s="74"/>
      <c r="BC169" s="74"/>
      <c r="BD169" s="74"/>
      <c r="BE169" s="74"/>
      <c r="BF169" s="74"/>
      <c r="BG169" s="74"/>
      <c r="BH169" s="74"/>
    </row>
    <row r="170" spans="1:60" x14ac:dyDescent="0.25">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c r="BB170" s="74"/>
      <c r="BC170" s="74"/>
      <c r="BD170" s="74"/>
      <c r="BE170" s="74"/>
      <c r="BF170" s="74"/>
      <c r="BG170" s="74"/>
      <c r="BH170" s="74"/>
    </row>
    <row r="171" spans="1:60" x14ac:dyDescent="0.25">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c r="BC171" s="74"/>
      <c r="BD171" s="74"/>
      <c r="BE171" s="74"/>
      <c r="BF171" s="74"/>
      <c r="BG171" s="74"/>
      <c r="BH171" s="74"/>
    </row>
    <row r="172" spans="1:60" x14ac:dyDescent="0.25">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c r="BC172" s="74"/>
      <c r="BD172" s="74"/>
      <c r="BE172" s="74"/>
      <c r="BF172" s="74"/>
      <c r="BG172" s="74"/>
      <c r="BH172" s="74"/>
    </row>
    <row r="173" spans="1:60" x14ac:dyDescent="0.25">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c r="BB173" s="74"/>
      <c r="BC173" s="74"/>
      <c r="BD173" s="74"/>
      <c r="BE173" s="74"/>
      <c r="BF173" s="74"/>
      <c r="BG173" s="74"/>
      <c r="BH173" s="74"/>
    </row>
    <row r="174" spans="1:60" x14ac:dyDescent="0.25">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c r="AY174" s="74"/>
      <c r="AZ174" s="74"/>
      <c r="BA174" s="74"/>
      <c r="BB174" s="74"/>
      <c r="BC174" s="74"/>
      <c r="BD174" s="74"/>
      <c r="BE174" s="74"/>
      <c r="BF174" s="74"/>
      <c r="BG174" s="74"/>
      <c r="BH174" s="74"/>
    </row>
    <row r="175" spans="1:60" x14ac:dyDescent="0.25">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row>
    <row r="176" spans="1:60" x14ac:dyDescent="0.25">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c r="AY176" s="74"/>
      <c r="AZ176" s="74"/>
      <c r="BA176" s="74"/>
      <c r="BB176" s="74"/>
      <c r="BC176" s="74"/>
      <c r="BD176" s="74"/>
      <c r="BE176" s="74"/>
      <c r="BF176" s="74"/>
      <c r="BG176" s="74"/>
      <c r="BH176" s="74"/>
    </row>
    <row r="177" spans="1:60" x14ac:dyDescent="0.25">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c r="BE177" s="74"/>
      <c r="BF177" s="74"/>
      <c r="BG177" s="74"/>
      <c r="BH177" s="74"/>
    </row>
    <row r="178" spans="1:60" x14ac:dyDescent="0.25">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4"/>
      <c r="AW178" s="74"/>
      <c r="AX178" s="74"/>
      <c r="AY178" s="74"/>
      <c r="AZ178" s="74"/>
      <c r="BA178" s="74"/>
      <c r="BB178" s="74"/>
      <c r="BC178" s="74"/>
      <c r="BD178" s="74"/>
      <c r="BE178" s="74"/>
      <c r="BF178" s="74"/>
      <c r="BG178" s="74"/>
      <c r="BH178" s="74"/>
    </row>
    <row r="179" spans="1:60" x14ac:dyDescent="0.25">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4"/>
      <c r="AZ179" s="74"/>
      <c r="BA179" s="74"/>
      <c r="BB179" s="74"/>
      <c r="BC179" s="74"/>
      <c r="BD179" s="74"/>
      <c r="BE179" s="74"/>
      <c r="BF179" s="74"/>
      <c r="BG179" s="74"/>
      <c r="BH179" s="74"/>
    </row>
    <row r="180" spans="1:60" x14ac:dyDescent="0.25">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c r="AR180" s="74"/>
      <c r="AS180" s="74"/>
      <c r="AT180" s="74"/>
      <c r="AU180" s="74"/>
      <c r="AV180" s="74"/>
      <c r="AW180" s="74"/>
      <c r="AX180" s="74"/>
      <c r="AY180" s="74"/>
      <c r="AZ180" s="74"/>
      <c r="BA180" s="74"/>
      <c r="BB180" s="74"/>
      <c r="BC180" s="74"/>
      <c r="BD180" s="74"/>
      <c r="BE180" s="74"/>
      <c r="BF180" s="74"/>
      <c r="BG180" s="74"/>
      <c r="BH180" s="74"/>
    </row>
    <row r="181" spans="1:60" x14ac:dyDescent="0.25">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row>
    <row r="182" spans="1:60" x14ac:dyDescent="0.25">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c r="AQ182" s="74"/>
      <c r="AR182" s="74"/>
      <c r="AS182" s="74"/>
      <c r="AT182" s="74"/>
      <c r="AU182" s="74"/>
      <c r="AV182" s="74"/>
      <c r="AW182" s="74"/>
      <c r="AX182" s="74"/>
      <c r="AY182" s="74"/>
      <c r="AZ182" s="74"/>
      <c r="BA182" s="74"/>
      <c r="BB182" s="74"/>
      <c r="BC182" s="74"/>
      <c r="BD182" s="74"/>
      <c r="BE182" s="74"/>
      <c r="BF182" s="74"/>
      <c r="BG182" s="74"/>
      <c r="BH182" s="74"/>
    </row>
    <row r="183" spans="1:60" x14ac:dyDescent="0.25">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74"/>
      <c r="AW183" s="74"/>
      <c r="AX183" s="74"/>
      <c r="AY183" s="74"/>
      <c r="AZ183" s="74"/>
      <c r="BA183" s="74"/>
      <c r="BB183" s="74"/>
      <c r="BC183" s="74"/>
      <c r="BD183" s="74"/>
      <c r="BE183" s="74"/>
      <c r="BF183" s="74"/>
      <c r="BG183" s="74"/>
      <c r="BH183" s="74"/>
    </row>
    <row r="184" spans="1:60" x14ac:dyDescent="0.25">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row>
    <row r="185" spans="1:60" x14ac:dyDescent="0.25">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row>
    <row r="186" spans="1:60" x14ac:dyDescent="0.25">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row>
    <row r="187" spans="1:60" x14ac:dyDescent="0.25">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74"/>
      <c r="BA187" s="74"/>
      <c r="BB187" s="74"/>
      <c r="BC187" s="74"/>
      <c r="BD187" s="74"/>
      <c r="BE187" s="74"/>
      <c r="BF187" s="74"/>
      <c r="BG187" s="74"/>
      <c r="BH187" s="74"/>
    </row>
    <row r="188" spans="1:60" x14ac:dyDescent="0.25">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74"/>
      <c r="AW188" s="74"/>
      <c r="AX188" s="74"/>
      <c r="AY188" s="74"/>
      <c r="AZ188" s="74"/>
      <c r="BA188" s="74"/>
      <c r="BB188" s="74"/>
      <c r="BC188" s="74"/>
      <c r="BD188" s="74"/>
      <c r="BE188" s="74"/>
      <c r="BF188" s="74"/>
      <c r="BG188" s="74"/>
      <c r="BH188" s="74"/>
    </row>
    <row r="189" spans="1:60" x14ac:dyDescent="0.25">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74"/>
      <c r="AW189" s="74"/>
      <c r="AX189" s="74"/>
      <c r="AY189" s="74"/>
      <c r="AZ189" s="74"/>
      <c r="BA189" s="74"/>
      <c r="BB189" s="74"/>
      <c r="BC189" s="74"/>
      <c r="BD189" s="74"/>
      <c r="BE189" s="74"/>
      <c r="BF189" s="74"/>
      <c r="BG189" s="74"/>
      <c r="BH189" s="74"/>
    </row>
    <row r="190" spans="1:60" x14ac:dyDescent="0.25">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row>
    <row r="191" spans="1:60" x14ac:dyDescent="0.25">
      <c r="A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c r="BB191" s="74"/>
      <c r="BC191" s="74"/>
      <c r="BD191" s="74"/>
      <c r="BE191" s="74"/>
      <c r="BF191" s="74"/>
      <c r="BG191" s="74"/>
      <c r="BH191" s="74"/>
    </row>
    <row r="192" spans="1:60" x14ac:dyDescent="0.25">
      <c r="A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c r="BB192" s="74"/>
      <c r="BC192" s="74"/>
      <c r="BD192" s="74"/>
      <c r="BE192" s="74"/>
      <c r="BF192" s="74"/>
      <c r="BG192" s="74"/>
      <c r="BH192" s="74"/>
    </row>
    <row r="193" spans="1:60" x14ac:dyDescent="0.25">
      <c r="A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row>
    <row r="194" spans="1:60" x14ac:dyDescent="0.25">
      <c r="A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74"/>
      <c r="AW194" s="74"/>
      <c r="AX194" s="74"/>
      <c r="AY194" s="74"/>
      <c r="AZ194" s="74"/>
      <c r="BA194" s="74"/>
      <c r="BB194" s="74"/>
      <c r="BC194" s="74"/>
      <c r="BD194" s="74"/>
      <c r="BE194" s="74"/>
      <c r="BF194" s="74"/>
      <c r="BG194" s="74"/>
      <c r="BH194" s="74"/>
    </row>
    <row r="195" spans="1:60" x14ac:dyDescent="0.25">
      <c r="A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row>
    <row r="196" spans="1:60" x14ac:dyDescent="0.25">
      <c r="A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row>
    <row r="197" spans="1:60" x14ac:dyDescent="0.25">
      <c r="A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row>
    <row r="198" spans="1:60" x14ac:dyDescent="0.25">
      <c r="A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row>
    <row r="199" spans="1:60" x14ac:dyDescent="0.25">
      <c r="A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row>
    <row r="200" spans="1:60" x14ac:dyDescent="0.25">
      <c r="A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c r="BC200" s="74"/>
      <c r="BD200" s="74"/>
      <c r="BE200" s="74"/>
      <c r="BF200" s="74"/>
      <c r="BG200" s="74"/>
      <c r="BH200" s="74"/>
    </row>
    <row r="201" spans="1:60" x14ac:dyDescent="0.25">
      <c r="A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c r="AQ201" s="74"/>
      <c r="AR201" s="74"/>
      <c r="AS201" s="74"/>
      <c r="AT201" s="74"/>
      <c r="AU201" s="74"/>
      <c r="AV201" s="74"/>
      <c r="AW201" s="74"/>
      <c r="AX201" s="74"/>
      <c r="AY201" s="74"/>
      <c r="AZ201" s="74"/>
      <c r="BA201" s="74"/>
      <c r="BB201" s="74"/>
      <c r="BC201" s="74"/>
      <c r="BD201" s="74"/>
      <c r="BE201" s="74"/>
      <c r="BF201" s="74"/>
      <c r="BG201" s="74"/>
      <c r="BH201" s="74"/>
    </row>
    <row r="202" spans="1:60" x14ac:dyDescent="0.25">
      <c r="A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c r="AR202" s="74"/>
      <c r="AS202" s="74"/>
      <c r="AT202" s="74"/>
      <c r="AU202" s="74"/>
      <c r="AV202" s="74"/>
      <c r="AW202" s="74"/>
      <c r="AX202" s="74"/>
      <c r="AY202" s="74"/>
      <c r="AZ202" s="74"/>
      <c r="BA202" s="74"/>
      <c r="BB202" s="74"/>
      <c r="BC202" s="74"/>
      <c r="BD202" s="74"/>
      <c r="BE202" s="74"/>
      <c r="BF202" s="74"/>
      <c r="BG202" s="74"/>
      <c r="BH202" s="74"/>
    </row>
    <row r="203" spans="1:60" x14ac:dyDescent="0.25">
      <c r="A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c r="BB203" s="74"/>
      <c r="BC203" s="74"/>
      <c r="BD203" s="74"/>
      <c r="BE203" s="74"/>
      <c r="BF203" s="74"/>
      <c r="BG203" s="74"/>
      <c r="BH203" s="74"/>
    </row>
    <row r="204" spans="1:60" x14ac:dyDescent="0.25">
      <c r="A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row>
    <row r="205" spans="1:60" x14ac:dyDescent="0.25">
      <c r="A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c r="BE205" s="74"/>
      <c r="BF205" s="74"/>
      <c r="BG205" s="74"/>
      <c r="BH205" s="74"/>
    </row>
    <row r="206" spans="1:60" x14ac:dyDescent="0.25">
      <c r="A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c r="AR206" s="74"/>
      <c r="AS206" s="74"/>
      <c r="AT206" s="74"/>
      <c r="AU206" s="74"/>
      <c r="AV206" s="74"/>
      <c r="AW206" s="74"/>
      <c r="AX206" s="74"/>
      <c r="AY206" s="74"/>
      <c r="AZ206" s="74"/>
      <c r="BA206" s="74"/>
      <c r="BB206" s="74"/>
      <c r="BC206" s="74"/>
      <c r="BD206" s="74"/>
      <c r="BE206" s="74"/>
      <c r="BF206" s="74"/>
      <c r="BG206" s="74"/>
      <c r="BH206" s="74"/>
    </row>
    <row r="207" spans="1:60" x14ac:dyDescent="0.25">
      <c r="A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c r="AR207" s="74"/>
      <c r="AS207" s="74"/>
      <c r="AT207" s="74"/>
      <c r="AU207" s="74"/>
      <c r="AV207" s="74"/>
      <c r="AW207" s="74"/>
      <c r="AX207" s="74"/>
      <c r="AY207" s="74"/>
      <c r="AZ207" s="74"/>
      <c r="BA207" s="74"/>
      <c r="BB207" s="74"/>
      <c r="BC207" s="74"/>
      <c r="BD207" s="74"/>
      <c r="BE207" s="74"/>
      <c r="BF207" s="74"/>
      <c r="BG207" s="74"/>
      <c r="BH207" s="74"/>
    </row>
    <row r="208" spans="1:60" x14ac:dyDescent="0.25">
      <c r="A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c r="AQ208" s="74"/>
      <c r="AR208" s="74"/>
      <c r="AS208" s="74"/>
      <c r="AT208" s="74"/>
      <c r="AU208" s="74"/>
      <c r="AV208" s="74"/>
      <c r="AW208" s="74"/>
      <c r="AX208" s="74"/>
      <c r="AY208" s="74"/>
      <c r="AZ208" s="74"/>
      <c r="BA208" s="74"/>
      <c r="BB208" s="74"/>
      <c r="BC208" s="74"/>
      <c r="BD208" s="74"/>
      <c r="BE208" s="74"/>
      <c r="BF208" s="74"/>
      <c r="BG208" s="74"/>
      <c r="BH208" s="74"/>
    </row>
    <row r="209" spans="1:60" x14ac:dyDescent="0.25">
      <c r="A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c r="AQ209" s="74"/>
      <c r="AR209" s="74"/>
      <c r="AS209" s="74"/>
      <c r="AT209" s="74"/>
      <c r="AU209" s="74"/>
      <c r="AV209" s="74"/>
      <c r="AW209" s="74"/>
      <c r="AX209" s="74"/>
      <c r="AY209" s="74"/>
      <c r="AZ209" s="74"/>
      <c r="BA209" s="74"/>
      <c r="BB209" s="74"/>
      <c r="BC209" s="74"/>
      <c r="BD209" s="74"/>
      <c r="BE209" s="74"/>
      <c r="BF209" s="74"/>
      <c r="BG209" s="74"/>
      <c r="BH209" s="74"/>
    </row>
    <row r="210" spans="1:60" x14ac:dyDescent="0.25">
      <c r="A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c r="BB210" s="74"/>
      <c r="BC210" s="74"/>
      <c r="BD210" s="74"/>
      <c r="BE210" s="74"/>
      <c r="BF210" s="74"/>
      <c r="BG210" s="74"/>
      <c r="BH210" s="74"/>
    </row>
    <row r="211" spans="1:60" x14ac:dyDescent="0.25">
      <c r="A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c r="AQ211" s="74"/>
      <c r="AR211" s="74"/>
      <c r="AS211" s="74"/>
      <c r="AT211" s="74"/>
      <c r="AU211" s="74"/>
      <c r="AV211" s="74"/>
      <c r="AW211" s="74"/>
      <c r="AX211" s="74"/>
      <c r="AY211" s="74"/>
      <c r="AZ211" s="74"/>
      <c r="BA211" s="74"/>
      <c r="BB211" s="74"/>
      <c r="BC211" s="74"/>
      <c r="BD211" s="74"/>
      <c r="BE211" s="74"/>
      <c r="BF211" s="74"/>
      <c r="BG211" s="74"/>
      <c r="BH211" s="74"/>
    </row>
    <row r="212" spans="1:60" x14ac:dyDescent="0.25">
      <c r="A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c r="AQ212" s="74"/>
      <c r="AR212" s="74"/>
      <c r="AS212" s="74"/>
      <c r="AT212" s="74"/>
      <c r="AU212" s="74"/>
      <c r="AV212" s="74"/>
      <c r="AW212" s="74"/>
      <c r="AX212" s="74"/>
      <c r="AY212" s="74"/>
      <c r="AZ212" s="74"/>
      <c r="BA212" s="74"/>
      <c r="BB212" s="74"/>
      <c r="BC212" s="74"/>
      <c r="BD212" s="74"/>
      <c r="BE212" s="74"/>
      <c r="BF212" s="74"/>
      <c r="BG212" s="74"/>
      <c r="BH212" s="74"/>
    </row>
    <row r="213" spans="1:60" x14ac:dyDescent="0.25">
      <c r="A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c r="AR213" s="74"/>
      <c r="AS213" s="74"/>
      <c r="AT213" s="74"/>
      <c r="AU213" s="74"/>
      <c r="AV213" s="74"/>
      <c r="AW213" s="74"/>
      <c r="AX213" s="74"/>
      <c r="AY213" s="74"/>
      <c r="AZ213" s="74"/>
      <c r="BA213" s="74"/>
      <c r="BB213" s="74"/>
      <c r="BC213" s="74"/>
      <c r="BD213" s="74"/>
      <c r="BE213" s="74"/>
      <c r="BF213" s="74"/>
      <c r="BG213" s="74"/>
      <c r="BH213" s="74"/>
    </row>
    <row r="214" spans="1:60" x14ac:dyDescent="0.25">
      <c r="A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c r="AQ214" s="74"/>
      <c r="AR214" s="74"/>
      <c r="AS214" s="74"/>
      <c r="AT214" s="74"/>
      <c r="AU214" s="74"/>
      <c r="AV214" s="74"/>
      <c r="AW214" s="74"/>
      <c r="AX214" s="74"/>
      <c r="AY214" s="74"/>
      <c r="AZ214" s="74"/>
      <c r="BA214" s="74"/>
      <c r="BB214" s="74"/>
      <c r="BC214" s="74"/>
      <c r="BD214" s="74"/>
      <c r="BE214" s="74"/>
      <c r="BF214" s="74"/>
      <c r="BG214" s="74"/>
      <c r="BH214" s="74"/>
    </row>
    <row r="215" spans="1:60" x14ac:dyDescent="0.25">
      <c r="A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row>
    <row r="216" spans="1:60" x14ac:dyDescent="0.25">
      <c r="A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c r="BE216" s="74"/>
      <c r="BF216" s="74"/>
      <c r="BG216" s="74"/>
      <c r="BH216" s="74"/>
    </row>
    <row r="217" spans="1:60" x14ac:dyDescent="0.25">
      <c r="A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4"/>
      <c r="BE217" s="74"/>
      <c r="BF217" s="74"/>
      <c r="BG217" s="74"/>
      <c r="BH217" s="74"/>
    </row>
    <row r="218" spans="1:60" x14ac:dyDescent="0.25">
      <c r="A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row>
    <row r="219" spans="1:60" x14ac:dyDescent="0.25">
      <c r="A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c r="AQ219" s="74"/>
      <c r="AR219" s="74"/>
      <c r="AS219" s="74"/>
      <c r="AT219" s="74"/>
      <c r="AU219" s="74"/>
      <c r="AV219" s="74"/>
      <c r="AW219" s="74"/>
      <c r="AX219" s="74"/>
      <c r="AY219" s="74"/>
      <c r="AZ219" s="74"/>
      <c r="BA219" s="74"/>
      <c r="BB219" s="74"/>
      <c r="BC219" s="74"/>
      <c r="BD219" s="74"/>
      <c r="BE219" s="74"/>
      <c r="BF219" s="74"/>
      <c r="BG219" s="74"/>
      <c r="BH219" s="74"/>
    </row>
    <row r="220" spans="1:60" x14ac:dyDescent="0.25">
      <c r="A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c r="BB220" s="74"/>
      <c r="BC220" s="74"/>
      <c r="BD220" s="74"/>
      <c r="BE220" s="74"/>
      <c r="BF220" s="74"/>
      <c r="BG220" s="74"/>
      <c r="BH220" s="74"/>
    </row>
    <row r="221" spans="1:60" x14ac:dyDescent="0.25">
      <c r="A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c r="BB221" s="74"/>
      <c r="BC221" s="74"/>
      <c r="BD221" s="74"/>
      <c r="BE221" s="74"/>
      <c r="BF221" s="74"/>
      <c r="BG221" s="74"/>
      <c r="BH221" s="74"/>
    </row>
    <row r="222" spans="1:60" x14ac:dyDescent="0.25">
      <c r="A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row>
    <row r="223" spans="1:60" x14ac:dyDescent="0.25">
      <c r="A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c r="BB223" s="74"/>
      <c r="BC223" s="74"/>
      <c r="BD223" s="74"/>
      <c r="BE223" s="74"/>
      <c r="BF223" s="74"/>
      <c r="BG223" s="74"/>
      <c r="BH223" s="74"/>
    </row>
    <row r="224" spans="1:60" x14ac:dyDescent="0.25">
      <c r="A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c r="AQ224" s="74"/>
      <c r="AR224" s="74"/>
      <c r="AS224" s="74"/>
      <c r="AT224" s="74"/>
      <c r="AU224" s="74"/>
      <c r="AV224" s="74"/>
      <c r="AW224" s="74"/>
      <c r="AX224" s="74"/>
      <c r="AY224" s="74"/>
      <c r="AZ224" s="74"/>
      <c r="BA224" s="74"/>
      <c r="BB224" s="74"/>
      <c r="BC224" s="74"/>
      <c r="BD224" s="74"/>
      <c r="BE224" s="74"/>
      <c r="BF224" s="74"/>
      <c r="BG224" s="74"/>
      <c r="BH224" s="74"/>
    </row>
    <row r="225" spans="1:60" x14ac:dyDescent="0.25">
      <c r="A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c r="AQ225" s="74"/>
      <c r="AR225" s="74"/>
      <c r="AS225" s="74"/>
      <c r="AT225" s="74"/>
      <c r="AU225" s="74"/>
      <c r="AV225" s="74"/>
      <c r="AW225" s="74"/>
      <c r="AX225" s="74"/>
      <c r="AY225" s="74"/>
      <c r="AZ225" s="74"/>
      <c r="BA225" s="74"/>
      <c r="BB225" s="74"/>
      <c r="BC225" s="74"/>
      <c r="BD225" s="74"/>
      <c r="BE225" s="74"/>
      <c r="BF225" s="74"/>
      <c r="BG225" s="74"/>
      <c r="BH225" s="74"/>
    </row>
    <row r="226" spans="1:60" x14ac:dyDescent="0.25">
      <c r="A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c r="BB226" s="74"/>
      <c r="BC226" s="74"/>
      <c r="BD226" s="74"/>
      <c r="BE226" s="74"/>
      <c r="BF226" s="74"/>
      <c r="BG226" s="74"/>
      <c r="BH226" s="74"/>
    </row>
    <row r="227" spans="1:60" x14ac:dyDescent="0.25">
      <c r="A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row>
    <row r="228" spans="1:60" x14ac:dyDescent="0.25">
      <c r="A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c r="AQ228" s="74"/>
      <c r="AR228" s="74"/>
      <c r="AS228" s="74"/>
      <c r="AT228" s="74"/>
      <c r="AU228" s="74"/>
      <c r="AV228" s="74"/>
      <c r="AW228" s="74"/>
      <c r="AX228" s="74"/>
      <c r="AY228" s="74"/>
      <c r="AZ228" s="74"/>
      <c r="BA228" s="74"/>
      <c r="BB228" s="74"/>
      <c r="BC228" s="74"/>
      <c r="BD228" s="74"/>
      <c r="BE228" s="74"/>
      <c r="BF228" s="74"/>
      <c r="BG228" s="74"/>
      <c r="BH228" s="74"/>
    </row>
    <row r="229" spans="1:60" x14ac:dyDescent="0.25">
      <c r="A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74"/>
      <c r="BB229" s="74"/>
      <c r="BC229" s="74"/>
      <c r="BD229" s="74"/>
      <c r="BE229" s="74"/>
      <c r="BF229" s="74"/>
      <c r="BG229" s="74"/>
      <c r="BH229" s="74"/>
    </row>
    <row r="230" spans="1:60" x14ac:dyDescent="0.25">
      <c r="A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c r="AQ230" s="74"/>
      <c r="AR230" s="74"/>
      <c r="AS230" s="74"/>
      <c r="AT230" s="74"/>
      <c r="AU230" s="74"/>
      <c r="AV230" s="74"/>
      <c r="AW230" s="74"/>
      <c r="AX230" s="74"/>
      <c r="AY230" s="74"/>
      <c r="AZ230" s="74"/>
      <c r="BA230" s="74"/>
      <c r="BB230" s="74"/>
      <c r="BC230" s="74"/>
      <c r="BD230" s="74"/>
      <c r="BE230" s="74"/>
      <c r="BF230" s="74"/>
      <c r="BG230" s="74"/>
      <c r="BH230" s="74"/>
    </row>
    <row r="231" spans="1:60" x14ac:dyDescent="0.25">
      <c r="A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74"/>
      <c r="BB231" s="74"/>
      <c r="BC231" s="74"/>
      <c r="BD231" s="74"/>
      <c r="BE231" s="74"/>
      <c r="BF231" s="74"/>
      <c r="BG231" s="74"/>
      <c r="BH231" s="74"/>
    </row>
    <row r="232" spans="1:60" x14ac:dyDescent="0.25">
      <c r="A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c r="AQ232" s="74"/>
      <c r="AR232" s="74"/>
      <c r="AS232" s="74"/>
      <c r="AT232" s="74"/>
      <c r="AU232" s="74"/>
      <c r="AV232" s="74"/>
      <c r="AW232" s="74"/>
      <c r="AX232" s="74"/>
      <c r="AY232" s="74"/>
      <c r="AZ232" s="74"/>
      <c r="BA232" s="74"/>
      <c r="BB232" s="74"/>
      <c r="BC232" s="74"/>
      <c r="BD232" s="74"/>
      <c r="BE232" s="74"/>
      <c r="BF232" s="74"/>
      <c r="BG232" s="74"/>
      <c r="BH232" s="74"/>
    </row>
    <row r="233" spans="1:60" x14ac:dyDescent="0.25">
      <c r="A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c r="AQ233" s="74"/>
      <c r="AR233" s="74"/>
      <c r="AS233" s="74"/>
      <c r="AT233" s="74"/>
      <c r="AU233" s="74"/>
      <c r="AV233" s="74"/>
      <c r="AW233" s="74"/>
      <c r="AX233" s="74"/>
      <c r="AY233" s="74"/>
      <c r="AZ233" s="74"/>
      <c r="BA233" s="74"/>
      <c r="BB233" s="74"/>
      <c r="BC233" s="74"/>
      <c r="BD233" s="74"/>
      <c r="BE233" s="74"/>
      <c r="BF233" s="74"/>
      <c r="BG233" s="74"/>
      <c r="BH233" s="74"/>
    </row>
    <row r="234" spans="1:60" x14ac:dyDescent="0.25">
      <c r="A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c r="AQ234" s="74"/>
      <c r="AR234" s="74"/>
      <c r="AS234" s="74"/>
      <c r="AT234" s="74"/>
      <c r="AU234" s="74"/>
      <c r="AV234" s="74"/>
      <c r="AW234" s="74"/>
      <c r="AX234" s="74"/>
      <c r="AY234" s="74"/>
      <c r="AZ234" s="74"/>
      <c r="BA234" s="74"/>
      <c r="BB234" s="74"/>
      <c r="BC234" s="74"/>
      <c r="BD234" s="74"/>
      <c r="BE234" s="74"/>
      <c r="BF234" s="74"/>
      <c r="BG234" s="74"/>
      <c r="BH234" s="74"/>
    </row>
    <row r="235" spans="1:60" x14ac:dyDescent="0.25">
      <c r="A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c r="AQ235" s="74"/>
      <c r="AR235" s="74"/>
      <c r="AS235" s="74"/>
      <c r="AT235" s="74"/>
      <c r="AU235" s="74"/>
      <c r="AV235" s="74"/>
      <c r="AW235" s="74"/>
      <c r="AX235" s="74"/>
      <c r="AY235" s="74"/>
      <c r="AZ235" s="74"/>
      <c r="BA235" s="74"/>
      <c r="BB235" s="74"/>
      <c r="BC235" s="74"/>
      <c r="BD235" s="74"/>
      <c r="BE235" s="74"/>
      <c r="BF235" s="74"/>
      <c r="BG235" s="74"/>
      <c r="BH235" s="74"/>
    </row>
    <row r="236" spans="1:60" x14ac:dyDescent="0.25">
      <c r="A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c r="AQ236" s="74"/>
      <c r="AR236" s="74"/>
      <c r="AS236" s="74"/>
      <c r="AT236" s="74"/>
      <c r="AU236" s="74"/>
      <c r="AV236" s="74"/>
      <c r="AW236" s="74"/>
      <c r="AX236" s="74"/>
      <c r="AY236" s="74"/>
      <c r="AZ236" s="74"/>
      <c r="BA236" s="74"/>
      <c r="BB236" s="74"/>
      <c r="BC236" s="74"/>
      <c r="BD236" s="74"/>
      <c r="BE236" s="74"/>
      <c r="BF236" s="74"/>
      <c r="BG236" s="74"/>
      <c r="BH236" s="74"/>
    </row>
    <row r="237" spans="1:60" x14ac:dyDescent="0.25">
      <c r="A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74"/>
      <c r="AW237" s="74"/>
      <c r="AX237" s="74"/>
      <c r="AY237" s="74"/>
      <c r="AZ237" s="74"/>
      <c r="BA237" s="74"/>
      <c r="BB237" s="74"/>
      <c r="BC237" s="74"/>
      <c r="BD237" s="74"/>
      <c r="BE237" s="74"/>
      <c r="BF237" s="74"/>
      <c r="BG237" s="74"/>
      <c r="BH237" s="74"/>
    </row>
    <row r="238" spans="1:60" x14ac:dyDescent="0.25">
      <c r="A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c r="AQ238" s="74"/>
      <c r="AR238" s="74"/>
      <c r="AS238" s="74"/>
      <c r="AT238" s="74"/>
      <c r="AU238" s="74"/>
      <c r="AV238" s="74"/>
      <c r="AW238" s="74"/>
      <c r="AX238" s="74"/>
      <c r="AY238" s="74"/>
      <c r="AZ238" s="74"/>
      <c r="BA238" s="74"/>
      <c r="BB238" s="74"/>
      <c r="BC238" s="74"/>
      <c r="BD238" s="74"/>
      <c r="BE238" s="74"/>
      <c r="BF238" s="74"/>
      <c r="BG238" s="74"/>
      <c r="BH238" s="74"/>
    </row>
    <row r="239" spans="1:60" x14ac:dyDescent="0.25">
      <c r="A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c r="AQ239" s="74"/>
      <c r="AR239" s="74"/>
      <c r="AS239" s="74"/>
      <c r="AT239" s="74"/>
      <c r="AU239" s="74"/>
      <c r="AV239" s="74"/>
      <c r="AW239" s="74"/>
      <c r="AX239" s="74"/>
      <c r="AY239" s="74"/>
      <c r="AZ239" s="74"/>
      <c r="BA239" s="74"/>
      <c r="BB239" s="74"/>
      <c r="BC239" s="74"/>
      <c r="BD239" s="74"/>
      <c r="BE239" s="74"/>
      <c r="BF239" s="74"/>
      <c r="BG239" s="74"/>
      <c r="BH239" s="74"/>
    </row>
    <row r="240" spans="1:60" x14ac:dyDescent="0.25">
      <c r="A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74"/>
      <c r="AW240" s="74"/>
      <c r="AX240" s="74"/>
      <c r="AY240" s="74"/>
      <c r="AZ240" s="74"/>
      <c r="BA240" s="74"/>
      <c r="BB240" s="74"/>
      <c r="BC240" s="74"/>
      <c r="BD240" s="74"/>
      <c r="BE240" s="74"/>
      <c r="BF240" s="74"/>
      <c r="BG240" s="74"/>
      <c r="BH240" s="74"/>
    </row>
    <row r="241" spans="1:60" x14ac:dyDescent="0.25">
      <c r="A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c r="AQ241" s="74"/>
      <c r="AR241" s="74"/>
      <c r="AS241" s="74"/>
      <c r="AT241" s="74"/>
      <c r="AU241" s="74"/>
      <c r="AV241" s="74"/>
      <c r="AW241" s="74"/>
      <c r="AX241" s="74"/>
      <c r="AY241" s="74"/>
      <c r="AZ241" s="74"/>
      <c r="BA241" s="74"/>
      <c r="BB241" s="74"/>
      <c r="BC241" s="74"/>
      <c r="BD241" s="74"/>
      <c r="BE241" s="74"/>
      <c r="BF241" s="74"/>
      <c r="BG241" s="74"/>
      <c r="BH241" s="74"/>
    </row>
    <row r="242" spans="1:60" x14ac:dyDescent="0.25">
      <c r="A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row>
    <row r="243" spans="1:60" x14ac:dyDescent="0.25">
      <c r="A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row>
    <row r="244" spans="1:60" x14ac:dyDescent="0.25">
      <c r="A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74"/>
      <c r="AW244" s="74"/>
      <c r="AX244" s="74"/>
      <c r="AY244" s="74"/>
      <c r="AZ244" s="74"/>
      <c r="BA244" s="74"/>
      <c r="BB244" s="74"/>
      <c r="BC244" s="74"/>
      <c r="BD244" s="74"/>
      <c r="BE244" s="74"/>
      <c r="BF244" s="74"/>
      <c r="BG244" s="74"/>
      <c r="BH244" s="74"/>
    </row>
    <row r="245" spans="1:60" x14ac:dyDescent="0.25">
      <c r="A245" s="74"/>
    </row>
    <row r="246" spans="1:60" x14ac:dyDescent="0.25">
      <c r="A246" s="74"/>
    </row>
    <row r="247" spans="1:60" x14ac:dyDescent="0.25">
      <c r="A247" s="74"/>
    </row>
    <row r="248" spans="1:60" x14ac:dyDescent="0.25">
      <c r="A248" s="74"/>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C7BE3-86B9-DC44-A3FE-455AF7D5BFE6}">
  <sheetPr>
    <tabColor rgb="FF00B0F0"/>
  </sheetPr>
  <dimension ref="A1:AK55"/>
  <sheetViews>
    <sheetView zoomScale="90" zoomScaleNormal="90" workbookViewId="0">
      <selection activeCell="D6" sqref="D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74"/>
      <c r="B1" s="441" t="s">
        <v>54</v>
      </c>
      <c r="C1" s="441"/>
      <c r="D1" s="441"/>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37" x14ac:dyDescent="0.25">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row>
    <row r="3" spans="1:37" ht="25.5" x14ac:dyDescent="0.25">
      <c r="A3" s="74"/>
      <c r="B3" s="5"/>
      <c r="C3" s="6" t="s">
        <v>51</v>
      </c>
      <c r="D3" s="6" t="s">
        <v>4</v>
      </c>
      <c r="E3" s="74"/>
      <c r="F3" s="74"/>
      <c r="G3" s="74"/>
      <c r="H3" s="74"/>
      <c r="I3" s="74"/>
      <c r="J3" s="74"/>
      <c r="K3" s="74"/>
      <c r="L3" s="74"/>
      <c r="M3" s="74"/>
      <c r="N3" s="74"/>
      <c r="O3" s="74"/>
      <c r="P3" s="74"/>
      <c r="Q3" s="74"/>
      <c r="R3" s="74"/>
      <c r="S3" s="74"/>
      <c r="T3" s="74"/>
      <c r="U3" s="74"/>
      <c r="V3" s="74"/>
      <c r="W3" s="74"/>
      <c r="X3" s="74"/>
      <c r="Y3" s="74"/>
      <c r="Z3" s="74"/>
      <c r="AA3" s="74"/>
      <c r="AB3" s="74"/>
      <c r="AC3" s="74"/>
      <c r="AD3" s="74"/>
      <c r="AE3" s="74"/>
    </row>
    <row r="4" spans="1:37" ht="51" x14ac:dyDescent="0.25">
      <c r="A4" s="74"/>
      <c r="B4" s="7" t="s">
        <v>50</v>
      </c>
      <c r="C4" s="8" t="s">
        <v>101</v>
      </c>
      <c r="D4" s="9">
        <v>0.2</v>
      </c>
      <c r="E4" s="74"/>
      <c r="F4" s="74"/>
      <c r="G4" s="74"/>
      <c r="H4" s="74"/>
      <c r="I4" s="74"/>
      <c r="J4" s="74"/>
      <c r="K4" s="74"/>
      <c r="L4" s="74"/>
      <c r="M4" s="74"/>
      <c r="N4" s="74"/>
      <c r="O4" s="74"/>
      <c r="P4" s="74"/>
      <c r="Q4" s="74"/>
      <c r="R4" s="74"/>
      <c r="S4" s="74"/>
      <c r="T4" s="74"/>
      <c r="U4" s="74"/>
      <c r="V4" s="74"/>
      <c r="W4" s="74"/>
      <c r="X4" s="74"/>
      <c r="Y4" s="74"/>
      <c r="Z4" s="74"/>
      <c r="AA4" s="74"/>
      <c r="AB4" s="74"/>
      <c r="AC4" s="74"/>
      <c r="AD4" s="74"/>
      <c r="AE4" s="74"/>
    </row>
    <row r="5" spans="1:37" ht="51" x14ac:dyDescent="0.25">
      <c r="A5" s="74"/>
      <c r="B5" s="10" t="s">
        <v>52</v>
      </c>
      <c r="C5" s="11" t="s">
        <v>102</v>
      </c>
      <c r="D5" s="12">
        <v>0.4</v>
      </c>
      <c r="E5" s="74"/>
      <c r="F5" s="74"/>
      <c r="G5" s="74"/>
      <c r="H5" s="74"/>
      <c r="I5" s="74"/>
      <c r="J5" s="74"/>
      <c r="K5" s="74"/>
      <c r="L5" s="74"/>
      <c r="M5" s="74"/>
      <c r="N5" s="74"/>
      <c r="O5" s="74"/>
      <c r="P5" s="74"/>
      <c r="Q5" s="74"/>
      <c r="R5" s="74"/>
      <c r="S5" s="74"/>
      <c r="T5" s="74"/>
      <c r="U5" s="74"/>
      <c r="V5" s="74"/>
      <c r="W5" s="74"/>
      <c r="X5" s="74"/>
      <c r="Y5" s="74"/>
      <c r="Z5" s="74"/>
      <c r="AA5" s="74"/>
      <c r="AB5" s="74"/>
      <c r="AC5" s="74"/>
      <c r="AD5" s="74"/>
      <c r="AE5" s="74"/>
    </row>
    <row r="6" spans="1:37" ht="51" x14ac:dyDescent="0.25">
      <c r="A6" s="74"/>
      <c r="B6" s="13" t="s">
        <v>106</v>
      </c>
      <c r="C6" s="11" t="s">
        <v>103</v>
      </c>
      <c r="D6" s="12">
        <v>0.6</v>
      </c>
      <c r="E6" s="74"/>
      <c r="F6" s="74"/>
      <c r="G6" s="74"/>
      <c r="H6" s="74"/>
      <c r="I6" s="74"/>
      <c r="J6" s="74"/>
      <c r="K6" s="74"/>
      <c r="L6" s="74"/>
      <c r="M6" s="74"/>
      <c r="N6" s="74"/>
      <c r="O6" s="74"/>
      <c r="P6" s="74"/>
      <c r="Q6" s="74"/>
      <c r="R6" s="74"/>
      <c r="S6" s="74"/>
      <c r="T6" s="74"/>
      <c r="U6" s="74"/>
      <c r="V6" s="74"/>
      <c r="W6" s="74"/>
      <c r="X6" s="74"/>
      <c r="Y6" s="74"/>
      <c r="Z6" s="74"/>
      <c r="AA6" s="74"/>
      <c r="AB6" s="74"/>
      <c r="AC6" s="74"/>
      <c r="AD6" s="74"/>
      <c r="AE6" s="74"/>
    </row>
    <row r="7" spans="1:37" ht="76.5" x14ac:dyDescent="0.25">
      <c r="A7" s="74"/>
      <c r="B7" s="14" t="s">
        <v>6</v>
      </c>
      <c r="C7" s="11" t="s">
        <v>104</v>
      </c>
      <c r="D7" s="12">
        <v>0.8</v>
      </c>
      <c r="E7" s="74"/>
      <c r="F7" s="74"/>
      <c r="G7" s="74"/>
      <c r="H7" s="74"/>
      <c r="I7" s="74"/>
      <c r="J7" s="74"/>
      <c r="K7" s="74"/>
      <c r="L7" s="74"/>
      <c r="M7" s="74"/>
      <c r="N7" s="74"/>
      <c r="O7" s="74"/>
      <c r="P7" s="74"/>
      <c r="Q7" s="74"/>
      <c r="R7" s="74"/>
      <c r="S7" s="74"/>
      <c r="T7" s="74"/>
      <c r="U7" s="74"/>
      <c r="V7" s="74"/>
      <c r="W7" s="74"/>
      <c r="X7" s="74"/>
      <c r="Y7" s="74"/>
      <c r="Z7" s="74"/>
      <c r="AA7" s="74"/>
      <c r="AB7" s="74"/>
      <c r="AC7" s="74"/>
      <c r="AD7" s="74"/>
      <c r="AE7" s="74"/>
    </row>
    <row r="8" spans="1:37" ht="51" x14ac:dyDescent="0.25">
      <c r="A8" s="74"/>
      <c r="B8" s="15" t="s">
        <v>53</v>
      </c>
      <c r="C8" s="11" t="s">
        <v>105</v>
      </c>
      <c r="D8" s="12">
        <v>1</v>
      </c>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7" x14ac:dyDescent="0.25">
      <c r="A9" s="74"/>
      <c r="B9" s="98"/>
      <c r="C9" s="98"/>
      <c r="D9" s="98"/>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row>
    <row r="10" spans="1:37" ht="16.5" x14ac:dyDescent="0.25">
      <c r="A10" s="74"/>
      <c r="B10" s="99"/>
      <c r="C10" s="98"/>
      <c r="D10" s="98"/>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row>
    <row r="11" spans="1:37" x14ac:dyDescent="0.25">
      <c r="A11" s="74"/>
      <c r="B11" s="98"/>
      <c r="C11" s="98"/>
      <c r="D11" s="98"/>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row>
    <row r="12" spans="1:37" x14ac:dyDescent="0.25">
      <c r="A12" s="74"/>
      <c r="B12" s="98"/>
      <c r="C12" s="98"/>
      <c r="D12" s="98"/>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row>
    <row r="13" spans="1:37" x14ac:dyDescent="0.25">
      <c r="A13" s="74"/>
      <c r="B13" s="98"/>
      <c r="C13" s="98"/>
      <c r="D13" s="98"/>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row>
    <row r="14" spans="1:37" x14ac:dyDescent="0.25">
      <c r="A14" s="74"/>
      <c r="B14" s="98"/>
      <c r="C14" s="98"/>
      <c r="D14" s="98"/>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row>
    <row r="15" spans="1:37" x14ac:dyDescent="0.25">
      <c r="A15" s="74"/>
      <c r="B15" s="98"/>
      <c r="C15" s="98"/>
      <c r="D15" s="98"/>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row>
    <row r="16" spans="1:37" x14ac:dyDescent="0.25">
      <c r="A16" s="74"/>
      <c r="B16" s="98"/>
      <c r="C16" s="98"/>
      <c r="D16" s="98"/>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row>
    <row r="17" spans="1:37" x14ac:dyDescent="0.25">
      <c r="A17" s="74"/>
      <c r="B17" s="98"/>
      <c r="C17" s="98"/>
      <c r="D17" s="98"/>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row>
    <row r="18" spans="1:37" x14ac:dyDescent="0.25">
      <c r="A18" s="74"/>
      <c r="B18" s="98"/>
      <c r="C18" s="98"/>
      <c r="D18" s="98"/>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row>
    <row r="19" spans="1:37" x14ac:dyDescent="0.25">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row>
    <row r="20" spans="1:37" x14ac:dyDescent="0.25">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row>
    <row r="21" spans="1:37" x14ac:dyDescent="0.25">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row>
    <row r="22" spans="1:37"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row>
    <row r="23" spans="1:37" x14ac:dyDescent="0.25">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row>
    <row r="24" spans="1:37" x14ac:dyDescent="0.25">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row>
    <row r="25" spans="1:37" x14ac:dyDescent="0.25">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row>
    <row r="26" spans="1:37" x14ac:dyDescent="0.25">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row>
    <row r="27" spans="1:37" x14ac:dyDescent="0.25">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row>
    <row r="28" spans="1:37" x14ac:dyDescent="0.25">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row>
    <row r="29" spans="1:37" x14ac:dyDescent="0.25">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row>
    <row r="30" spans="1:37" x14ac:dyDescent="0.2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row>
    <row r="31" spans="1:37" x14ac:dyDescent="0.25">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row>
    <row r="32" spans="1:37" x14ac:dyDescent="0.25">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row>
    <row r="33" spans="1:31" x14ac:dyDescent="0.25">
      <c r="A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row>
    <row r="34" spans="1:31" x14ac:dyDescent="0.25">
      <c r="A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row>
    <row r="35" spans="1:31" x14ac:dyDescent="0.25">
      <c r="A35" s="74"/>
    </row>
    <row r="36" spans="1:31" x14ac:dyDescent="0.25">
      <c r="A36" s="74"/>
    </row>
    <row r="37" spans="1:31" x14ac:dyDescent="0.25">
      <c r="A37" s="74"/>
    </row>
    <row r="38" spans="1:31" x14ac:dyDescent="0.25">
      <c r="A38" s="74"/>
    </row>
    <row r="39" spans="1:31" x14ac:dyDescent="0.25">
      <c r="A39" s="74"/>
    </row>
    <row r="40" spans="1:31" x14ac:dyDescent="0.25">
      <c r="A40" s="74"/>
    </row>
    <row r="41" spans="1:31" x14ac:dyDescent="0.25">
      <c r="A41" s="74"/>
    </row>
    <row r="42" spans="1:31" x14ac:dyDescent="0.25">
      <c r="A42" s="74"/>
    </row>
    <row r="43" spans="1:31" x14ac:dyDescent="0.25">
      <c r="A43" s="74"/>
    </row>
    <row r="44" spans="1:31" x14ac:dyDescent="0.25">
      <c r="A44" s="74"/>
    </row>
    <row r="45" spans="1:31" x14ac:dyDescent="0.25">
      <c r="A45" s="74"/>
    </row>
    <row r="46" spans="1:31" x14ac:dyDescent="0.25">
      <c r="A46" s="74"/>
    </row>
    <row r="47" spans="1:31" x14ac:dyDescent="0.25">
      <c r="A47" s="74"/>
    </row>
    <row r="48" spans="1:31" x14ac:dyDescent="0.25">
      <c r="A48" s="74"/>
    </row>
    <row r="49" spans="1:1" x14ac:dyDescent="0.25">
      <c r="A49" s="74"/>
    </row>
    <row r="50" spans="1:1" x14ac:dyDescent="0.25">
      <c r="A50" s="74"/>
    </row>
    <row r="51" spans="1:1" x14ac:dyDescent="0.25">
      <c r="A51" s="74"/>
    </row>
    <row r="52" spans="1:1" x14ac:dyDescent="0.25">
      <c r="A52" s="74"/>
    </row>
    <row r="53" spans="1:1" x14ac:dyDescent="0.25">
      <c r="A53" s="74"/>
    </row>
    <row r="54" spans="1:1" x14ac:dyDescent="0.25">
      <c r="A54" s="74"/>
    </row>
    <row r="55" spans="1:1" x14ac:dyDescent="0.25">
      <c r="A55" s="74"/>
    </row>
  </sheetData>
  <mergeCells count="1">
    <mergeCell ref="B1:D1"/>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BB7CE-648F-DC40-B153-7362B9B2CCE1}">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4"/>
      <c r="B1" s="442" t="s">
        <v>62</v>
      </c>
      <c r="C1" s="442"/>
      <c r="D1" s="442"/>
      <c r="E1" s="74"/>
      <c r="F1" s="74"/>
      <c r="G1" s="74"/>
      <c r="H1" s="74"/>
      <c r="I1" s="74"/>
      <c r="J1" s="74"/>
      <c r="K1" s="74"/>
      <c r="L1" s="74"/>
      <c r="M1" s="74"/>
      <c r="N1" s="74"/>
      <c r="O1" s="74"/>
      <c r="P1" s="74"/>
      <c r="Q1" s="74"/>
      <c r="R1" s="74"/>
      <c r="S1" s="74"/>
      <c r="T1" s="74"/>
      <c r="U1" s="74"/>
    </row>
    <row r="2" spans="1:21" x14ac:dyDescent="0.25">
      <c r="A2" s="74"/>
      <c r="B2" s="74"/>
      <c r="C2" s="74"/>
      <c r="D2" s="74"/>
      <c r="E2" s="74"/>
      <c r="F2" s="74"/>
      <c r="G2" s="74"/>
      <c r="H2" s="74"/>
      <c r="I2" s="74"/>
      <c r="J2" s="74"/>
      <c r="K2" s="74"/>
      <c r="L2" s="74"/>
      <c r="M2" s="74"/>
      <c r="N2" s="74"/>
      <c r="O2" s="74"/>
      <c r="P2" s="74"/>
      <c r="Q2" s="74"/>
      <c r="R2" s="74"/>
      <c r="S2" s="74"/>
      <c r="T2" s="74"/>
      <c r="U2" s="74"/>
    </row>
    <row r="3" spans="1:21" ht="60" x14ac:dyDescent="0.25">
      <c r="A3" s="74"/>
      <c r="B3" s="95"/>
      <c r="C3" s="27" t="s">
        <v>55</v>
      </c>
      <c r="D3" s="27" t="s">
        <v>56</v>
      </c>
      <c r="E3" s="74"/>
      <c r="F3" s="74"/>
      <c r="G3" s="74"/>
      <c r="H3" s="74"/>
      <c r="I3" s="74"/>
      <c r="J3" s="74"/>
      <c r="K3" s="74"/>
      <c r="L3" s="74"/>
      <c r="M3" s="74"/>
      <c r="N3" s="74"/>
      <c r="O3" s="74"/>
      <c r="P3" s="74"/>
      <c r="Q3" s="74"/>
      <c r="R3" s="74"/>
      <c r="S3" s="74"/>
      <c r="T3" s="74"/>
      <c r="U3" s="74"/>
    </row>
    <row r="4" spans="1:21" ht="33.75" x14ac:dyDescent="0.25">
      <c r="A4" s="94" t="s">
        <v>82</v>
      </c>
      <c r="B4" s="30" t="s">
        <v>100</v>
      </c>
      <c r="C4" s="35" t="s">
        <v>155</v>
      </c>
      <c r="D4" s="28" t="s">
        <v>96</v>
      </c>
      <c r="E4" s="74"/>
      <c r="F4" s="74"/>
      <c r="G4" s="74"/>
      <c r="H4" s="74"/>
      <c r="I4" s="74"/>
      <c r="J4" s="74"/>
      <c r="K4" s="74"/>
      <c r="L4" s="74"/>
      <c r="M4" s="74"/>
      <c r="N4" s="74"/>
      <c r="O4" s="74"/>
      <c r="P4" s="74"/>
      <c r="Q4" s="74"/>
      <c r="R4" s="74"/>
      <c r="S4" s="74"/>
      <c r="T4" s="74"/>
      <c r="U4" s="74"/>
    </row>
    <row r="5" spans="1:21" ht="101.25" x14ac:dyDescent="0.25">
      <c r="A5" s="94" t="s">
        <v>83</v>
      </c>
      <c r="B5" s="31" t="s">
        <v>58</v>
      </c>
      <c r="C5" s="36" t="s">
        <v>92</v>
      </c>
      <c r="D5" s="29" t="s">
        <v>97</v>
      </c>
      <c r="E5" s="74"/>
      <c r="F5" s="74"/>
      <c r="G5" s="74"/>
      <c r="H5" s="74"/>
      <c r="I5" s="74"/>
      <c r="J5" s="74"/>
      <c r="K5" s="74"/>
      <c r="L5" s="74"/>
      <c r="M5" s="74"/>
      <c r="N5" s="74"/>
      <c r="O5" s="74"/>
      <c r="P5" s="74"/>
      <c r="Q5" s="74"/>
      <c r="R5" s="74"/>
      <c r="S5" s="74"/>
      <c r="T5" s="74"/>
      <c r="U5" s="74"/>
    </row>
    <row r="6" spans="1:21" ht="67.5" x14ac:dyDescent="0.25">
      <c r="A6" s="94" t="s">
        <v>80</v>
      </c>
      <c r="B6" s="32" t="s">
        <v>59</v>
      </c>
      <c r="C6" s="36" t="s">
        <v>93</v>
      </c>
      <c r="D6" s="29" t="s">
        <v>99</v>
      </c>
      <c r="E6" s="74"/>
      <c r="F6" s="74"/>
      <c r="G6" s="74"/>
      <c r="H6" s="74"/>
      <c r="I6" s="74"/>
      <c r="J6" s="74"/>
      <c r="K6" s="74"/>
      <c r="L6" s="74"/>
      <c r="M6" s="74"/>
      <c r="N6" s="74"/>
      <c r="O6" s="74"/>
      <c r="P6" s="74"/>
      <c r="Q6" s="74"/>
      <c r="R6" s="74"/>
      <c r="S6" s="74"/>
      <c r="T6" s="74"/>
      <c r="U6" s="74"/>
    </row>
    <row r="7" spans="1:21" ht="101.25" x14ac:dyDescent="0.25">
      <c r="A7" s="94" t="s">
        <v>7</v>
      </c>
      <c r="B7" s="33" t="s">
        <v>60</v>
      </c>
      <c r="C7" s="36" t="s">
        <v>94</v>
      </c>
      <c r="D7" s="29" t="s">
        <v>98</v>
      </c>
      <c r="E7" s="74"/>
      <c r="F7" s="74"/>
      <c r="G7" s="74"/>
      <c r="H7" s="74"/>
      <c r="I7" s="74"/>
      <c r="J7" s="74"/>
      <c r="K7" s="74"/>
      <c r="L7" s="74"/>
      <c r="M7" s="74"/>
      <c r="N7" s="74"/>
      <c r="O7" s="74"/>
      <c r="P7" s="74"/>
      <c r="Q7" s="74"/>
      <c r="R7" s="74"/>
      <c r="S7" s="74"/>
      <c r="T7" s="74"/>
      <c r="U7" s="74"/>
    </row>
    <row r="8" spans="1:21" ht="67.5" x14ac:dyDescent="0.25">
      <c r="A8" s="94" t="s">
        <v>84</v>
      </c>
      <c r="B8" s="34" t="s">
        <v>61</v>
      </c>
      <c r="C8" s="36" t="s">
        <v>95</v>
      </c>
      <c r="D8" s="29" t="s">
        <v>117</v>
      </c>
      <c r="E8" s="74"/>
      <c r="F8" s="74"/>
      <c r="G8" s="74"/>
      <c r="H8" s="74"/>
      <c r="I8" s="74"/>
      <c r="J8" s="74"/>
      <c r="K8" s="74"/>
      <c r="L8" s="74"/>
      <c r="M8" s="74"/>
      <c r="N8" s="74"/>
      <c r="O8" s="74"/>
      <c r="P8" s="74"/>
      <c r="Q8" s="74"/>
      <c r="R8" s="74"/>
      <c r="S8" s="74"/>
      <c r="T8" s="74"/>
      <c r="U8" s="74"/>
    </row>
    <row r="9" spans="1:21" ht="20.25" x14ac:dyDescent="0.25">
      <c r="A9" s="94"/>
      <c r="B9" s="94"/>
      <c r="C9" s="96"/>
      <c r="D9" s="96"/>
      <c r="E9" s="74"/>
      <c r="F9" s="74"/>
      <c r="G9" s="74"/>
      <c r="H9" s="74"/>
      <c r="I9" s="74"/>
      <c r="J9" s="74"/>
      <c r="K9" s="74"/>
      <c r="L9" s="74"/>
      <c r="M9" s="74"/>
      <c r="N9" s="74"/>
      <c r="O9" s="74"/>
      <c r="P9" s="74"/>
      <c r="Q9" s="74"/>
      <c r="R9" s="74"/>
      <c r="S9" s="74"/>
      <c r="T9" s="74"/>
      <c r="U9" s="74"/>
    </row>
    <row r="10" spans="1:21" ht="16.5" x14ac:dyDescent="0.25">
      <c r="A10" s="94"/>
      <c r="B10" s="97"/>
      <c r="C10" s="97"/>
      <c r="D10" s="97"/>
      <c r="E10" s="74"/>
      <c r="F10" s="74"/>
      <c r="G10" s="74"/>
      <c r="H10" s="74"/>
      <c r="I10" s="74"/>
      <c r="J10" s="74"/>
      <c r="K10" s="74"/>
      <c r="L10" s="74"/>
      <c r="M10" s="74"/>
      <c r="N10" s="74"/>
      <c r="O10" s="74"/>
      <c r="P10" s="74"/>
      <c r="Q10" s="74"/>
      <c r="R10" s="74"/>
      <c r="S10" s="74"/>
      <c r="T10" s="74"/>
      <c r="U10" s="74"/>
    </row>
    <row r="11" spans="1:21" x14ac:dyDescent="0.25">
      <c r="A11" s="94"/>
      <c r="B11" s="94" t="s">
        <v>90</v>
      </c>
      <c r="C11" s="94" t="s">
        <v>143</v>
      </c>
      <c r="D11" s="94" t="s">
        <v>150</v>
      </c>
      <c r="E11" s="74"/>
      <c r="F11" s="74"/>
      <c r="G11" s="74"/>
      <c r="H11" s="74"/>
      <c r="I11" s="74"/>
      <c r="J11" s="74"/>
      <c r="K11" s="74"/>
      <c r="L11" s="74"/>
      <c r="M11" s="74"/>
      <c r="N11" s="74"/>
      <c r="O11" s="74"/>
      <c r="P11" s="74"/>
      <c r="Q11" s="74"/>
      <c r="R11" s="74"/>
      <c r="S11" s="74"/>
      <c r="T11" s="74"/>
      <c r="U11" s="74"/>
    </row>
    <row r="12" spans="1:21" x14ac:dyDescent="0.25">
      <c r="A12" s="94"/>
      <c r="B12" s="94" t="s">
        <v>88</v>
      </c>
      <c r="C12" s="94" t="s">
        <v>147</v>
      </c>
      <c r="D12" s="94" t="s">
        <v>151</v>
      </c>
      <c r="E12" s="74"/>
      <c r="F12" s="74"/>
      <c r="G12" s="74"/>
      <c r="H12" s="74"/>
      <c r="I12" s="74"/>
      <c r="J12" s="74"/>
      <c r="K12" s="74"/>
      <c r="L12" s="74"/>
      <c r="M12" s="74"/>
      <c r="N12" s="74"/>
      <c r="O12" s="74"/>
      <c r="P12" s="74"/>
      <c r="Q12" s="74"/>
      <c r="R12" s="74"/>
      <c r="S12" s="74"/>
      <c r="T12" s="74"/>
      <c r="U12" s="74"/>
    </row>
    <row r="13" spans="1:21" x14ac:dyDescent="0.25">
      <c r="A13" s="94"/>
      <c r="B13" s="94"/>
      <c r="C13" s="94" t="s">
        <v>146</v>
      </c>
      <c r="D13" s="94" t="s">
        <v>152</v>
      </c>
      <c r="E13" s="74"/>
      <c r="F13" s="74"/>
      <c r="G13" s="74"/>
      <c r="H13" s="74"/>
      <c r="I13" s="74"/>
      <c r="J13" s="74"/>
      <c r="K13" s="74"/>
      <c r="L13" s="74"/>
      <c r="M13" s="74"/>
      <c r="N13" s="74"/>
      <c r="O13" s="74"/>
      <c r="P13" s="74"/>
      <c r="Q13" s="74"/>
      <c r="R13" s="74"/>
      <c r="S13" s="74"/>
      <c r="T13" s="74"/>
      <c r="U13" s="74"/>
    </row>
    <row r="14" spans="1:21" x14ac:dyDescent="0.25">
      <c r="A14" s="94"/>
      <c r="B14" s="94"/>
      <c r="C14" s="94" t="s">
        <v>148</v>
      </c>
      <c r="D14" s="94" t="s">
        <v>153</v>
      </c>
      <c r="E14" s="74"/>
      <c r="F14" s="74"/>
      <c r="G14" s="74"/>
      <c r="H14" s="74"/>
      <c r="I14" s="74"/>
      <c r="J14" s="74"/>
      <c r="K14" s="74"/>
      <c r="L14" s="74"/>
      <c r="M14" s="74"/>
      <c r="N14" s="74"/>
      <c r="O14" s="74"/>
      <c r="P14" s="74"/>
      <c r="Q14" s="74"/>
      <c r="R14" s="74"/>
      <c r="S14" s="74"/>
      <c r="T14" s="74"/>
      <c r="U14" s="74"/>
    </row>
    <row r="15" spans="1:21" x14ac:dyDescent="0.25">
      <c r="A15" s="94"/>
      <c r="B15" s="94"/>
      <c r="C15" s="94" t="s">
        <v>149</v>
      </c>
      <c r="D15" s="94" t="s">
        <v>154</v>
      </c>
      <c r="E15" s="74"/>
      <c r="F15" s="74"/>
      <c r="G15" s="74"/>
      <c r="H15" s="74"/>
      <c r="I15" s="74"/>
      <c r="J15" s="74"/>
      <c r="K15" s="74"/>
      <c r="L15" s="74"/>
      <c r="M15" s="74"/>
      <c r="N15" s="74"/>
      <c r="O15" s="74"/>
      <c r="P15" s="74"/>
      <c r="Q15" s="74"/>
      <c r="R15" s="74"/>
      <c r="S15" s="74"/>
      <c r="T15" s="74"/>
      <c r="U15" s="74"/>
    </row>
    <row r="16" spans="1:21" x14ac:dyDescent="0.25">
      <c r="A16" s="94"/>
      <c r="B16" s="94"/>
      <c r="C16" s="94"/>
      <c r="D16" s="94"/>
      <c r="E16" s="74"/>
      <c r="F16" s="74"/>
      <c r="G16" s="74"/>
      <c r="H16" s="74"/>
      <c r="I16" s="74"/>
      <c r="J16" s="74"/>
      <c r="K16" s="74"/>
      <c r="L16" s="74"/>
      <c r="M16" s="74"/>
      <c r="N16" s="74"/>
      <c r="O16" s="74"/>
    </row>
    <row r="17" spans="1:15" x14ac:dyDescent="0.25">
      <c r="A17" s="94"/>
      <c r="B17" s="94"/>
      <c r="C17" s="94"/>
      <c r="D17" s="94"/>
      <c r="E17" s="74"/>
      <c r="F17" s="74"/>
      <c r="G17" s="74"/>
      <c r="H17" s="74"/>
      <c r="I17" s="74"/>
      <c r="J17" s="74"/>
      <c r="K17" s="74"/>
      <c r="L17" s="74"/>
      <c r="M17" s="74"/>
      <c r="N17" s="74"/>
      <c r="O17" s="74"/>
    </row>
    <row r="18" spans="1:15" x14ac:dyDescent="0.25">
      <c r="A18" s="94"/>
      <c r="B18" s="98"/>
      <c r="C18" s="98"/>
      <c r="D18" s="98"/>
      <c r="E18" s="74"/>
      <c r="F18" s="74"/>
      <c r="G18" s="74"/>
      <c r="H18" s="74"/>
      <c r="I18" s="74"/>
      <c r="J18" s="74"/>
      <c r="K18" s="74"/>
      <c r="L18" s="74"/>
      <c r="M18" s="74"/>
      <c r="N18" s="74"/>
      <c r="O18" s="74"/>
    </row>
    <row r="19" spans="1:15" x14ac:dyDescent="0.25">
      <c r="A19" s="94"/>
      <c r="B19" s="98"/>
      <c r="C19" s="98"/>
      <c r="D19" s="98"/>
      <c r="E19" s="74"/>
      <c r="F19" s="74"/>
      <c r="G19" s="74"/>
      <c r="H19" s="74"/>
      <c r="I19" s="74"/>
      <c r="J19" s="74"/>
      <c r="K19" s="74"/>
      <c r="L19" s="74"/>
      <c r="M19" s="74"/>
      <c r="N19" s="74"/>
      <c r="O19" s="74"/>
    </row>
    <row r="20" spans="1:15" x14ac:dyDescent="0.25">
      <c r="A20" s="94"/>
      <c r="B20" s="98"/>
      <c r="C20" s="98"/>
      <c r="D20" s="98"/>
      <c r="E20" s="74"/>
      <c r="F20" s="74"/>
      <c r="G20" s="74"/>
      <c r="H20" s="74"/>
      <c r="I20" s="74"/>
      <c r="J20" s="74"/>
      <c r="K20" s="74"/>
      <c r="L20" s="74"/>
      <c r="M20" s="74"/>
      <c r="N20" s="74"/>
      <c r="O20" s="74"/>
    </row>
    <row r="21" spans="1:15" x14ac:dyDescent="0.25">
      <c r="A21" s="94"/>
      <c r="B21" s="98"/>
      <c r="C21" s="98"/>
      <c r="D21" s="98"/>
      <c r="E21" s="74"/>
      <c r="F21" s="74"/>
      <c r="G21" s="74"/>
      <c r="H21" s="74"/>
      <c r="I21" s="74"/>
      <c r="J21" s="74"/>
      <c r="K21" s="74"/>
      <c r="L21" s="74"/>
      <c r="M21" s="74"/>
      <c r="N21" s="74"/>
      <c r="O21" s="74"/>
    </row>
    <row r="22" spans="1:15" ht="20.25" x14ac:dyDescent="0.25">
      <c r="A22" s="94"/>
      <c r="B22" s="94"/>
      <c r="C22" s="96"/>
      <c r="D22" s="96"/>
      <c r="E22" s="74"/>
      <c r="F22" s="74"/>
      <c r="G22" s="74"/>
      <c r="H22" s="74"/>
      <c r="I22" s="74"/>
      <c r="J22" s="74"/>
      <c r="K22" s="74"/>
      <c r="L22" s="74"/>
      <c r="M22" s="74"/>
      <c r="N22" s="74"/>
      <c r="O22" s="74"/>
    </row>
    <row r="23" spans="1:15" ht="20.25" x14ac:dyDescent="0.25">
      <c r="A23" s="94"/>
      <c r="B23" s="94"/>
      <c r="C23" s="96"/>
      <c r="D23" s="96"/>
      <c r="E23" s="74"/>
      <c r="F23" s="74"/>
      <c r="G23" s="74"/>
      <c r="H23" s="74"/>
      <c r="I23" s="74"/>
      <c r="J23" s="74"/>
      <c r="K23" s="74"/>
      <c r="L23" s="74"/>
      <c r="M23" s="74"/>
      <c r="N23" s="74"/>
      <c r="O23" s="74"/>
    </row>
    <row r="24" spans="1:15" ht="20.25" x14ac:dyDescent="0.25">
      <c r="A24" s="94"/>
      <c r="B24" s="94"/>
      <c r="C24" s="96"/>
      <c r="D24" s="96"/>
      <c r="E24" s="74"/>
      <c r="F24" s="74"/>
      <c r="G24" s="74"/>
      <c r="H24" s="74"/>
      <c r="I24" s="74"/>
      <c r="J24" s="74"/>
      <c r="K24" s="74"/>
      <c r="L24" s="74"/>
      <c r="M24" s="74"/>
      <c r="N24" s="74"/>
      <c r="O24" s="74"/>
    </row>
    <row r="25" spans="1:15" ht="20.25" x14ac:dyDescent="0.25">
      <c r="A25" s="94"/>
      <c r="B25" s="94"/>
      <c r="C25" s="96"/>
      <c r="D25" s="96"/>
      <c r="E25" s="74"/>
      <c r="F25" s="74"/>
      <c r="G25" s="74"/>
      <c r="H25" s="74"/>
      <c r="I25" s="74"/>
      <c r="J25" s="74"/>
      <c r="K25" s="74"/>
      <c r="L25" s="74"/>
      <c r="M25" s="74"/>
      <c r="N25" s="74"/>
      <c r="O25" s="74"/>
    </row>
    <row r="26" spans="1:15" ht="20.25" x14ac:dyDescent="0.25">
      <c r="A26" s="94"/>
      <c r="B26" s="94"/>
      <c r="C26" s="96"/>
      <c r="D26" s="96"/>
      <c r="E26" s="74"/>
      <c r="F26" s="74"/>
      <c r="G26" s="74"/>
      <c r="H26" s="74"/>
      <c r="I26" s="74"/>
      <c r="J26" s="74"/>
      <c r="K26" s="74"/>
      <c r="L26" s="74"/>
      <c r="M26" s="74"/>
      <c r="N26" s="74"/>
      <c r="O26" s="74"/>
    </row>
    <row r="27" spans="1:15" ht="20.25" x14ac:dyDescent="0.25">
      <c r="A27" s="94"/>
      <c r="B27" s="94"/>
      <c r="C27" s="96"/>
      <c r="D27" s="96"/>
      <c r="E27" s="74"/>
      <c r="F27" s="74"/>
      <c r="G27" s="74"/>
      <c r="H27" s="74"/>
      <c r="I27" s="74"/>
      <c r="J27" s="74"/>
      <c r="K27" s="74"/>
      <c r="L27" s="74"/>
      <c r="M27" s="74"/>
      <c r="N27" s="74"/>
      <c r="O27" s="74"/>
    </row>
    <row r="28" spans="1:15" ht="20.25" x14ac:dyDescent="0.25">
      <c r="A28" s="94"/>
      <c r="B28" s="94"/>
      <c r="C28" s="96"/>
      <c r="D28" s="96"/>
      <c r="E28" s="74"/>
      <c r="F28" s="74"/>
      <c r="G28" s="74"/>
      <c r="H28" s="74"/>
      <c r="I28" s="74"/>
      <c r="J28" s="74"/>
      <c r="K28" s="74"/>
      <c r="L28" s="74"/>
      <c r="M28" s="74"/>
      <c r="N28" s="74"/>
      <c r="O28" s="74"/>
    </row>
    <row r="29" spans="1:15" ht="20.25" x14ac:dyDescent="0.25">
      <c r="A29" s="94"/>
      <c r="B29" s="94"/>
      <c r="C29" s="96"/>
      <c r="D29" s="96"/>
      <c r="E29" s="74"/>
      <c r="F29" s="74"/>
      <c r="G29" s="74"/>
      <c r="H29" s="74"/>
      <c r="I29" s="74"/>
      <c r="J29" s="74"/>
      <c r="K29" s="74"/>
      <c r="L29" s="74"/>
      <c r="M29" s="74"/>
      <c r="N29" s="74"/>
      <c r="O29" s="74"/>
    </row>
    <row r="30" spans="1:15" ht="20.25" x14ac:dyDescent="0.25">
      <c r="A30" s="94"/>
      <c r="B30" s="94"/>
      <c r="C30" s="96"/>
      <c r="D30" s="96"/>
      <c r="E30" s="74"/>
      <c r="F30" s="74"/>
      <c r="G30" s="74"/>
      <c r="H30" s="74"/>
      <c r="I30" s="74"/>
      <c r="J30" s="74"/>
      <c r="K30" s="74"/>
      <c r="L30" s="74"/>
      <c r="M30" s="74"/>
      <c r="N30" s="74"/>
      <c r="O30" s="74"/>
    </row>
    <row r="31" spans="1:15" ht="20.25" x14ac:dyDescent="0.25">
      <c r="A31" s="94"/>
      <c r="B31" s="94"/>
      <c r="C31" s="96"/>
      <c r="D31" s="96"/>
      <c r="E31" s="74"/>
      <c r="F31" s="74"/>
      <c r="G31" s="74"/>
      <c r="H31" s="74"/>
      <c r="I31" s="74"/>
      <c r="J31" s="74"/>
      <c r="K31" s="74"/>
      <c r="L31" s="74"/>
      <c r="M31" s="74"/>
      <c r="N31" s="74"/>
      <c r="O31" s="74"/>
    </row>
    <row r="32" spans="1:15" ht="20.25" x14ac:dyDescent="0.25">
      <c r="A32" s="94"/>
      <c r="B32" s="94"/>
      <c r="C32" s="96"/>
      <c r="D32" s="96"/>
      <c r="E32" s="74"/>
      <c r="F32" s="74"/>
      <c r="G32" s="74"/>
      <c r="H32" s="74"/>
      <c r="I32" s="74"/>
      <c r="J32" s="74"/>
      <c r="K32" s="74"/>
      <c r="L32" s="74"/>
      <c r="M32" s="74"/>
      <c r="N32" s="74"/>
      <c r="O32" s="74"/>
    </row>
    <row r="33" spans="1:15" ht="20.25" x14ac:dyDescent="0.25">
      <c r="A33" s="94"/>
      <c r="B33" s="94"/>
      <c r="C33" s="96"/>
      <c r="D33" s="96"/>
      <c r="E33" s="74"/>
      <c r="F33" s="74"/>
      <c r="G33" s="74"/>
      <c r="H33" s="74"/>
      <c r="I33" s="74"/>
      <c r="J33" s="74"/>
      <c r="K33" s="74"/>
      <c r="L33" s="74"/>
      <c r="M33" s="74"/>
      <c r="N33" s="74"/>
      <c r="O33" s="74"/>
    </row>
    <row r="34" spans="1:15" ht="20.25" x14ac:dyDescent="0.25">
      <c r="A34" s="94"/>
      <c r="B34" s="94"/>
      <c r="C34" s="96"/>
      <c r="D34" s="96"/>
      <c r="E34" s="74"/>
      <c r="F34" s="74"/>
      <c r="G34" s="74"/>
      <c r="H34" s="74"/>
      <c r="I34" s="74"/>
      <c r="J34" s="74"/>
      <c r="K34" s="74"/>
      <c r="L34" s="74"/>
      <c r="M34" s="74"/>
      <c r="N34" s="74"/>
      <c r="O34" s="74"/>
    </row>
    <row r="35" spans="1:15" ht="20.25" x14ac:dyDescent="0.25">
      <c r="A35" s="94"/>
      <c r="B35" s="94"/>
      <c r="C35" s="96"/>
      <c r="D35" s="96"/>
      <c r="E35" s="74"/>
      <c r="F35" s="74"/>
      <c r="G35" s="74"/>
      <c r="H35" s="74"/>
      <c r="I35" s="74"/>
      <c r="J35" s="74"/>
      <c r="K35" s="74"/>
      <c r="L35" s="74"/>
      <c r="M35" s="74"/>
      <c r="N35" s="74"/>
      <c r="O35" s="74"/>
    </row>
    <row r="36" spans="1:15" ht="20.25" x14ac:dyDescent="0.25">
      <c r="A36" s="94"/>
      <c r="B36" s="94"/>
      <c r="C36" s="96"/>
      <c r="D36" s="96"/>
      <c r="E36" s="74"/>
      <c r="F36" s="74"/>
      <c r="G36" s="74"/>
      <c r="H36" s="74"/>
      <c r="I36" s="74"/>
      <c r="J36" s="74"/>
      <c r="K36" s="74"/>
      <c r="L36" s="74"/>
      <c r="M36" s="74"/>
      <c r="N36" s="74"/>
      <c r="O36" s="74"/>
    </row>
    <row r="37" spans="1:15" ht="20.25" x14ac:dyDescent="0.25">
      <c r="A37" s="94"/>
      <c r="B37" s="94"/>
      <c r="C37" s="96"/>
      <c r="D37" s="96"/>
      <c r="E37" s="74"/>
      <c r="F37" s="74"/>
      <c r="G37" s="74"/>
      <c r="H37" s="74"/>
      <c r="I37" s="74"/>
      <c r="J37" s="74"/>
      <c r="K37" s="74"/>
      <c r="L37" s="74"/>
      <c r="M37" s="74"/>
      <c r="N37" s="74"/>
      <c r="O37" s="74"/>
    </row>
    <row r="38" spans="1:15" ht="20.25" x14ac:dyDescent="0.25">
      <c r="A38" s="94"/>
      <c r="B38" s="94"/>
      <c r="C38" s="96"/>
      <c r="D38" s="96"/>
      <c r="E38" s="74"/>
      <c r="F38" s="74"/>
      <c r="G38" s="74"/>
      <c r="H38" s="74"/>
      <c r="I38" s="74"/>
      <c r="J38" s="74"/>
      <c r="K38" s="74"/>
      <c r="L38" s="74"/>
      <c r="M38" s="74"/>
      <c r="N38" s="74"/>
      <c r="O38" s="74"/>
    </row>
    <row r="39" spans="1:15" ht="20.25" x14ac:dyDescent="0.25">
      <c r="A39" s="94"/>
      <c r="B39" s="94"/>
      <c r="C39" s="96"/>
      <c r="D39" s="96"/>
      <c r="E39" s="74"/>
      <c r="F39" s="74"/>
      <c r="G39" s="74"/>
      <c r="H39" s="74"/>
      <c r="I39" s="74"/>
      <c r="J39" s="74"/>
      <c r="K39" s="74"/>
      <c r="L39" s="74"/>
      <c r="M39" s="74"/>
      <c r="N39" s="74"/>
      <c r="O39" s="74"/>
    </row>
    <row r="40" spans="1:15" ht="20.25" x14ac:dyDescent="0.25">
      <c r="A40" s="94"/>
      <c r="B40" s="94"/>
      <c r="C40" s="96"/>
      <c r="D40" s="96"/>
      <c r="E40" s="74"/>
      <c r="F40" s="74"/>
      <c r="G40" s="74"/>
      <c r="H40" s="74"/>
      <c r="I40" s="74"/>
      <c r="J40" s="74"/>
      <c r="K40" s="74"/>
      <c r="L40" s="74"/>
      <c r="M40" s="74"/>
      <c r="N40" s="74"/>
      <c r="O40" s="74"/>
    </row>
    <row r="41" spans="1:15" ht="20.25" x14ac:dyDescent="0.25">
      <c r="A41" s="94"/>
      <c r="B41" s="94"/>
      <c r="C41" s="96"/>
      <c r="D41" s="96"/>
      <c r="E41" s="74"/>
      <c r="F41" s="74"/>
      <c r="G41" s="74"/>
      <c r="H41" s="74"/>
      <c r="I41" s="74"/>
      <c r="J41" s="74"/>
      <c r="K41" s="74"/>
      <c r="L41" s="74"/>
      <c r="M41" s="74"/>
      <c r="N41" s="74"/>
      <c r="O41" s="74"/>
    </row>
    <row r="42" spans="1:15" ht="20.25" x14ac:dyDescent="0.25">
      <c r="A42" s="94"/>
      <c r="B42" s="94"/>
      <c r="C42" s="96"/>
      <c r="D42" s="96"/>
      <c r="E42" s="74"/>
      <c r="F42" s="74"/>
      <c r="G42" s="74"/>
      <c r="H42" s="74"/>
      <c r="I42" s="74"/>
      <c r="J42" s="74"/>
      <c r="K42" s="74"/>
      <c r="L42" s="74"/>
      <c r="M42" s="74"/>
      <c r="N42" s="74"/>
      <c r="O42" s="74"/>
    </row>
    <row r="43" spans="1:15" ht="20.25" x14ac:dyDescent="0.25">
      <c r="A43" s="94"/>
      <c r="B43" s="94"/>
      <c r="C43" s="96"/>
      <c r="D43" s="96"/>
      <c r="E43" s="74"/>
      <c r="F43" s="74"/>
      <c r="G43" s="74"/>
      <c r="H43" s="74"/>
      <c r="I43" s="74"/>
      <c r="J43" s="74"/>
      <c r="K43" s="74"/>
      <c r="L43" s="74"/>
      <c r="M43" s="74"/>
      <c r="N43" s="74"/>
      <c r="O43" s="74"/>
    </row>
    <row r="44" spans="1:15" ht="20.25" x14ac:dyDescent="0.25">
      <c r="A44" s="94"/>
      <c r="B44" s="94"/>
      <c r="C44" s="96"/>
      <c r="D44" s="96"/>
      <c r="E44" s="74"/>
      <c r="F44" s="74"/>
      <c r="G44" s="74"/>
      <c r="H44" s="74"/>
      <c r="I44" s="74"/>
      <c r="J44" s="74"/>
      <c r="K44" s="74"/>
      <c r="L44" s="74"/>
      <c r="M44" s="74"/>
      <c r="N44" s="74"/>
      <c r="O44" s="74"/>
    </row>
    <row r="45" spans="1:15" ht="20.25" x14ac:dyDescent="0.25">
      <c r="A45" s="94"/>
      <c r="B45" s="94"/>
      <c r="C45" s="96"/>
      <c r="D45" s="96"/>
      <c r="E45" s="74"/>
      <c r="F45" s="74"/>
      <c r="G45" s="74"/>
      <c r="H45" s="74"/>
      <c r="I45" s="74"/>
      <c r="J45" s="74"/>
      <c r="K45" s="74"/>
      <c r="L45" s="74"/>
      <c r="M45" s="74"/>
      <c r="N45" s="74"/>
      <c r="O45" s="74"/>
    </row>
    <row r="46" spans="1:15" ht="20.25" x14ac:dyDescent="0.25">
      <c r="A46" s="94"/>
      <c r="B46" s="94"/>
      <c r="C46" s="96"/>
      <c r="D46" s="96"/>
      <c r="E46" s="74"/>
      <c r="F46" s="74"/>
      <c r="G46" s="74"/>
      <c r="H46" s="74"/>
      <c r="I46" s="74"/>
      <c r="J46" s="74"/>
      <c r="K46" s="74"/>
      <c r="L46" s="74"/>
      <c r="M46" s="74"/>
      <c r="N46" s="74"/>
      <c r="O46" s="74"/>
    </row>
    <row r="47" spans="1:15" ht="20.25" x14ac:dyDescent="0.25">
      <c r="A47" s="94"/>
      <c r="B47" s="94"/>
      <c r="C47" s="96"/>
      <c r="D47" s="96"/>
      <c r="E47" s="74"/>
      <c r="F47" s="74"/>
      <c r="G47" s="74"/>
      <c r="H47" s="74"/>
      <c r="I47" s="74"/>
      <c r="J47" s="74"/>
      <c r="K47" s="74"/>
      <c r="L47" s="74"/>
      <c r="M47" s="74"/>
      <c r="N47" s="74"/>
      <c r="O47" s="74"/>
    </row>
    <row r="48" spans="1:15" ht="20.25" x14ac:dyDescent="0.25">
      <c r="A48" s="94"/>
      <c r="B48" s="94"/>
      <c r="C48" s="96"/>
      <c r="D48" s="96"/>
      <c r="E48" s="74"/>
      <c r="F48" s="74"/>
      <c r="G48" s="74"/>
      <c r="H48" s="74"/>
      <c r="I48" s="74"/>
      <c r="J48" s="74"/>
      <c r="K48" s="74"/>
      <c r="L48" s="74"/>
      <c r="M48" s="74"/>
      <c r="N48" s="74"/>
      <c r="O48" s="74"/>
    </row>
    <row r="49" spans="1:15" ht="20.25" x14ac:dyDescent="0.25">
      <c r="A49" s="94"/>
      <c r="B49" s="94"/>
      <c r="C49" s="96"/>
      <c r="D49" s="96"/>
      <c r="E49" s="74"/>
      <c r="F49" s="74"/>
      <c r="G49" s="74"/>
      <c r="H49" s="74"/>
      <c r="I49" s="74"/>
      <c r="J49" s="74"/>
      <c r="K49" s="74"/>
      <c r="L49" s="74"/>
      <c r="M49" s="74"/>
      <c r="N49" s="74"/>
      <c r="O49" s="74"/>
    </row>
    <row r="50" spans="1:15" ht="20.25" x14ac:dyDescent="0.25">
      <c r="A50" s="94"/>
      <c r="B50" s="94"/>
      <c r="C50" s="96"/>
      <c r="D50" s="96"/>
      <c r="E50" s="74"/>
      <c r="F50" s="74"/>
      <c r="G50" s="74"/>
      <c r="H50" s="74"/>
      <c r="I50" s="74"/>
      <c r="J50" s="74"/>
      <c r="K50" s="74"/>
      <c r="L50" s="74"/>
      <c r="M50" s="74"/>
      <c r="N50" s="74"/>
      <c r="O50" s="74"/>
    </row>
    <row r="51" spans="1:15" ht="20.25" x14ac:dyDescent="0.25">
      <c r="A51" s="94"/>
      <c r="B51" s="94"/>
      <c r="C51" s="96"/>
      <c r="D51" s="96"/>
      <c r="E51" s="74"/>
      <c r="F51" s="74"/>
      <c r="G51" s="74"/>
      <c r="H51" s="74"/>
      <c r="I51" s="74"/>
      <c r="J51" s="74"/>
      <c r="K51" s="74"/>
      <c r="L51" s="74"/>
      <c r="M51" s="74"/>
      <c r="N51" s="74"/>
      <c r="O51" s="74"/>
    </row>
    <row r="52" spans="1:15" ht="20.25" x14ac:dyDescent="0.25">
      <c r="A52" s="94"/>
      <c r="B52" s="17"/>
      <c r="C52" s="25"/>
      <c r="D52" s="25"/>
    </row>
    <row r="53" spans="1:15" ht="20.25" x14ac:dyDescent="0.25">
      <c r="A53" s="94"/>
      <c r="B53" s="17"/>
      <c r="C53" s="25"/>
      <c r="D53" s="25"/>
    </row>
    <row r="54" spans="1:15" ht="20.25" x14ac:dyDescent="0.25">
      <c r="A54" s="94"/>
      <c r="B54" s="17"/>
      <c r="C54" s="25"/>
      <c r="D54" s="25"/>
    </row>
    <row r="55" spans="1:15" ht="20.25" x14ac:dyDescent="0.25">
      <c r="A55" s="94"/>
      <c r="B55" s="17"/>
      <c r="C55" s="25"/>
      <c r="D55" s="25"/>
    </row>
    <row r="56" spans="1:15" ht="20.25" x14ac:dyDescent="0.25">
      <c r="A56" s="94"/>
      <c r="B56" s="17"/>
      <c r="C56" s="25"/>
      <c r="D56" s="25"/>
    </row>
    <row r="57" spans="1:15" ht="20.25" x14ac:dyDescent="0.25">
      <c r="A57" s="94"/>
      <c r="B57" s="17"/>
      <c r="C57" s="25"/>
      <c r="D57" s="25"/>
    </row>
    <row r="58" spans="1:15" ht="20.25" x14ac:dyDescent="0.25">
      <c r="A58" s="94"/>
      <c r="B58" s="17"/>
      <c r="C58" s="25"/>
      <c r="D58" s="25"/>
    </row>
    <row r="59" spans="1:15" ht="20.25" x14ac:dyDescent="0.25">
      <c r="A59" s="94"/>
      <c r="B59" s="17"/>
      <c r="C59" s="25"/>
      <c r="D59" s="25"/>
    </row>
    <row r="60" spans="1:15" ht="20.25" x14ac:dyDescent="0.25">
      <c r="A60" s="94"/>
      <c r="B60" s="17"/>
      <c r="C60" s="25"/>
      <c r="D60" s="25"/>
    </row>
    <row r="61" spans="1:15" ht="20.25" x14ac:dyDescent="0.25">
      <c r="A61" s="94"/>
      <c r="B61" s="17"/>
      <c r="C61" s="25"/>
      <c r="D61" s="25"/>
    </row>
    <row r="62" spans="1:15" ht="20.25" x14ac:dyDescent="0.25">
      <c r="A62" s="94"/>
      <c r="B62" s="17"/>
      <c r="C62" s="25"/>
      <c r="D62" s="25"/>
    </row>
    <row r="63" spans="1:15" ht="20.25" x14ac:dyDescent="0.25">
      <c r="A63" s="94"/>
      <c r="B63" s="17"/>
      <c r="C63" s="25"/>
      <c r="D63" s="25"/>
    </row>
    <row r="64" spans="1:15" ht="20.25" x14ac:dyDescent="0.25">
      <c r="A64" s="94"/>
      <c r="B64" s="17"/>
      <c r="C64" s="25"/>
      <c r="D64" s="25"/>
    </row>
    <row r="65" spans="1:4" ht="20.25" x14ac:dyDescent="0.25">
      <c r="A65" s="94"/>
      <c r="B65" s="17"/>
      <c r="C65" s="25"/>
      <c r="D65" s="25"/>
    </row>
    <row r="66" spans="1:4" ht="20.25" x14ac:dyDescent="0.25">
      <c r="A66" s="94"/>
      <c r="B66" s="17"/>
      <c r="C66" s="25"/>
      <c r="D66" s="25"/>
    </row>
    <row r="67" spans="1:4" ht="20.25" x14ac:dyDescent="0.25">
      <c r="A67" s="94"/>
      <c r="B67" s="17"/>
      <c r="C67" s="25"/>
      <c r="D67" s="25"/>
    </row>
    <row r="68" spans="1:4" ht="20.25" x14ac:dyDescent="0.25">
      <c r="A68" s="94"/>
      <c r="B68" s="17"/>
      <c r="C68" s="25"/>
      <c r="D68" s="25"/>
    </row>
    <row r="69" spans="1:4" ht="20.25" x14ac:dyDescent="0.25">
      <c r="A69" s="94"/>
      <c r="B69" s="17"/>
      <c r="C69" s="25"/>
      <c r="D69" s="25"/>
    </row>
    <row r="70" spans="1:4" ht="20.25" x14ac:dyDescent="0.25">
      <c r="A70" s="94"/>
      <c r="B70" s="17"/>
      <c r="C70" s="25"/>
      <c r="D70" s="25"/>
    </row>
    <row r="71" spans="1:4" ht="20.25" x14ac:dyDescent="0.25">
      <c r="A71" s="94"/>
      <c r="B71" s="17"/>
      <c r="C71" s="25"/>
      <c r="D71" s="25"/>
    </row>
    <row r="72" spans="1:4" ht="20.25" x14ac:dyDescent="0.25">
      <c r="A72" s="94"/>
      <c r="B72" s="17"/>
      <c r="C72" s="25"/>
      <c r="D72" s="25"/>
    </row>
    <row r="73" spans="1:4" ht="20.25" x14ac:dyDescent="0.25">
      <c r="A73" s="94"/>
      <c r="B73" s="17"/>
      <c r="C73" s="25"/>
      <c r="D73" s="25"/>
    </row>
    <row r="74" spans="1:4" ht="20.25" x14ac:dyDescent="0.25">
      <c r="A74" s="94"/>
      <c r="B74" s="17"/>
      <c r="C74" s="25"/>
      <c r="D74" s="25"/>
    </row>
    <row r="75" spans="1:4" ht="20.25" x14ac:dyDescent="0.25">
      <c r="A75" s="94"/>
      <c r="B75" s="17"/>
      <c r="C75" s="25"/>
      <c r="D75" s="25"/>
    </row>
    <row r="76" spans="1:4" ht="20.25" x14ac:dyDescent="0.25">
      <c r="A76" s="94"/>
      <c r="B76" s="17"/>
      <c r="C76" s="25"/>
      <c r="D76" s="25"/>
    </row>
    <row r="77" spans="1:4" ht="20.25" x14ac:dyDescent="0.25">
      <c r="A77" s="94"/>
      <c r="B77" s="17"/>
      <c r="C77" s="25"/>
      <c r="D77" s="25"/>
    </row>
    <row r="78" spans="1:4" ht="20.25" x14ac:dyDescent="0.25">
      <c r="A78" s="94"/>
      <c r="B78" s="17"/>
      <c r="C78" s="25"/>
      <c r="D78" s="25"/>
    </row>
    <row r="79" spans="1:4" ht="20.25" x14ac:dyDescent="0.25">
      <c r="A79" s="94"/>
      <c r="B79" s="17"/>
      <c r="C79" s="25"/>
      <c r="D79" s="25"/>
    </row>
    <row r="80" spans="1:4" ht="20.25" x14ac:dyDescent="0.25">
      <c r="A80" s="94"/>
      <c r="B80" s="17"/>
      <c r="C80" s="25"/>
      <c r="D80" s="25"/>
    </row>
    <row r="81" spans="1:4" ht="20.25" x14ac:dyDescent="0.25">
      <c r="A81" s="94"/>
      <c r="B81" s="17"/>
      <c r="C81" s="25"/>
      <c r="D81" s="25"/>
    </row>
    <row r="82" spans="1:4" ht="20.25" x14ac:dyDescent="0.25">
      <c r="A82" s="94"/>
      <c r="B82" s="17"/>
      <c r="C82" s="25"/>
      <c r="D82" s="25"/>
    </row>
    <row r="83" spans="1:4" ht="20.25" x14ac:dyDescent="0.25">
      <c r="A83" s="94"/>
      <c r="B83" s="17"/>
      <c r="C83" s="25"/>
      <c r="D83" s="25"/>
    </row>
    <row r="84" spans="1:4" ht="20.25" x14ac:dyDescent="0.25">
      <c r="A84" s="94"/>
      <c r="B84" s="17"/>
      <c r="C84" s="25"/>
      <c r="D84" s="25"/>
    </row>
    <row r="85" spans="1:4" ht="20.25" x14ac:dyDescent="0.25">
      <c r="A85" s="94"/>
      <c r="B85" s="17"/>
      <c r="C85" s="25"/>
      <c r="D85" s="25"/>
    </row>
    <row r="86" spans="1:4" ht="20.25" x14ac:dyDescent="0.25">
      <c r="A86" s="94"/>
      <c r="B86" s="17"/>
      <c r="C86" s="25"/>
      <c r="D86" s="25"/>
    </row>
    <row r="87" spans="1:4" ht="20.25" x14ac:dyDescent="0.25">
      <c r="A87" s="94"/>
      <c r="B87" s="17"/>
      <c r="C87" s="25"/>
      <c r="D87" s="25"/>
    </row>
    <row r="88" spans="1:4" ht="20.25" x14ac:dyDescent="0.25">
      <c r="A88" s="94"/>
      <c r="B88" s="17"/>
      <c r="C88" s="25"/>
      <c r="D88" s="25"/>
    </row>
    <row r="89" spans="1:4" ht="20.25" x14ac:dyDescent="0.25">
      <c r="A89" s="94"/>
      <c r="B89" s="17"/>
      <c r="C89" s="25"/>
      <c r="D89" s="25"/>
    </row>
    <row r="90" spans="1:4" ht="20.25" x14ac:dyDescent="0.25">
      <c r="A90" s="94"/>
      <c r="B90" s="17"/>
      <c r="C90" s="25"/>
      <c r="D90" s="25"/>
    </row>
    <row r="91" spans="1:4" ht="20.25" x14ac:dyDescent="0.25">
      <c r="A91" s="94"/>
      <c r="B91" s="17"/>
      <c r="C91" s="25"/>
      <c r="D91" s="25"/>
    </row>
    <row r="92" spans="1:4" ht="20.25" x14ac:dyDescent="0.25">
      <c r="A92" s="94"/>
      <c r="B92" s="17"/>
      <c r="C92" s="25"/>
      <c r="D92" s="25"/>
    </row>
    <row r="93" spans="1:4" ht="20.25" x14ac:dyDescent="0.25">
      <c r="A93" s="94"/>
      <c r="B93" s="17"/>
      <c r="C93" s="25"/>
      <c r="D93" s="25"/>
    </row>
    <row r="94" spans="1:4" ht="20.25" x14ac:dyDescent="0.25">
      <c r="A94" s="94"/>
      <c r="B94" s="17"/>
      <c r="C94" s="25"/>
      <c r="D94" s="25"/>
    </row>
    <row r="95" spans="1:4" ht="20.25" x14ac:dyDescent="0.25">
      <c r="A95" s="94"/>
      <c r="B95" s="17"/>
      <c r="C95" s="25"/>
      <c r="D95" s="25"/>
    </row>
    <row r="96" spans="1:4" ht="20.25" x14ac:dyDescent="0.25">
      <c r="A96" s="94"/>
      <c r="B96" s="17"/>
      <c r="C96" s="25"/>
      <c r="D96" s="25"/>
    </row>
    <row r="97" spans="1:4" ht="20.25" x14ac:dyDescent="0.25">
      <c r="A97" s="94"/>
      <c r="B97" s="17"/>
      <c r="C97" s="25"/>
      <c r="D97" s="25"/>
    </row>
    <row r="98" spans="1:4" ht="20.25" x14ac:dyDescent="0.25">
      <c r="A98" s="94"/>
      <c r="B98" s="17"/>
      <c r="C98" s="25"/>
      <c r="D98" s="25"/>
    </row>
    <row r="99" spans="1:4" ht="20.25" x14ac:dyDescent="0.25">
      <c r="A99" s="94"/>
      <c r="B99" s="17"/>
      <c r="C99" s="25"/>
      <c r="D99" s="25"/>
    </row>
    <row r="100" spans="1:4" ht="20.25" x14ac:dyDescent="0.25">
      <c r="A100" s="94"/>
      <c r="B100" s="17"/>
      <c r="C100" s="25"/>
      <c r="D100" s="25"/>
    </row>
    <row r="101" spans="1:4" ht="20.25" x14ac:dyDescent="0.25">
      <c r="A101" s="94"/>
      <c r="B101" s="17"/>
      <c r="C101" s="25"/>
      <c r="D101" s="25"/>
    </row>
    <row r="102" spans="1:4" ht="20.25" x14ac:dyDescent="0.25">
      <c r="A102" s="94"/>
      <c r="B102" s="17"/>
      <c r="C102" s="25"/>
      <c r="D102" s="25"/>
    </row>
    <row r="103" spans="1:4" ht="20.25" x14ac:dyDescent="0.25">
      <c r="A103" s="94"/>
      <c r="B103" s="17"/>
      <c r="C103" s="25"/>
      <c r="D103" s="25"/>
    </row>
    <row r="104" spans="1:4" ht="20.25" x14ac:dyDescent="0.25">
      <c r="A104" s="94"/>
      <c r="B104" s="17"/>
      <c r="C104" s="25"/>
      <c r="D104" s="25"/>
    </row>
    <row r="105" spans="1:4" ht="20.25" x14ac:dyDescent="0.25">
      <c r="A105" s="94"/>
      <c r="B105" s="17"/>
      <c r="C105" s="25"/>
      <c r="D105" s="25"/>
    </row>
    <row r="106" spans="1:4" ht="20.25" x14ac:dyDescent="0.25">
      <c r="A106" s="94"/>
      <c r="B106" s="17"/>
      <c r="C106" s="25"/>
      <c r="D106" s="25"/>
    </row>
    <row r="107" spans="1:4" ht="20.25" x14ac:dyDescent="0.25">
      <c r="A107" s="94"/>
      <c r="B107" s="17"/>
      <c r="C107" s="25"/>
      <c r="D107" s="25"/>
    </row>
    <row r="108" spans="1:4" ht="20.25" x14ac:dyDescent="0.25">
      <c r="A108" s="94"/>
      <c r="B108" s="17"/>
      <c r="C108" s="25"/>
      <c r="D108" s="25"/>
    </row>
    <row r="109" spans="1:4" ht="20.25" x14ac:dyDescent="0.25">
      <c r="A109" s="94"/>
      <c r="B109" s="17"/>
      <c r="C109" s="25"/>
      <c r="D109" s="25"/>
    </row>
    <row r="110" spans="1:4" ht="20.25" x14ac:dyDescent="0.25">
      <c r="A110" s="94"/>
      <c r="B110" s="17"/>
      <c r="C110" s="25"/>
      <c r="D110" s="25"/>
    </row>
    <row r="111" spans="1:4" ht="20.25" x14ac:dyDescent="0.25">
      <c r="A111" s="94"/>
      <c r="B111" s="17"/>
      <c r="C111" s="25"/>
      <c r="D111" s="25"/>
    </row>
    <row r="112" spans="1:4" ht="20.25" x14ac:dyDescent="0.25">
      <c r="A112" s="94"/>
      <c r="B112" s="17"/>
      <c r="C112" s="25"/>
      <c r="D112" s="25"/>
    </row>
    <row r="113" spans="1:4" ht="20.25" x14ac:dyDescent="0.25">
      <c r="A113" s="94"/>
      <c r="B113" s="17"/>
      <c r="C113" s="25"/>
      <c r="D113" s="25"/>
    </row>
    <row r="114" spans="1:4" ht="20.25" x14ac:dyDescent="0.25">
      <c r="A114" s="94"/>
      <c r="B114" s="17"/>
      <c r="C114" s="25"/>
      <c r="D114" s="25"/>
    </row>
    <row r="115" spans="1:4" ht="20.25" x14ac:dyDescent="0.25">
      <c r="A115" s="94"/>
      <c r="B115" s="17"/>
      <c r="C115" s="25"/>
      <c r="D115" s="25"/>
    </row>
    <row r="116" spans="1:4" ht="20.25" x14ac:dyDescent="0.25">
      <c r="A116" s="94"/>
      <c r="B116" s="17"/>
      <c r="C116" s="25"/>
      <c r="D116" s="25"/>
    </row>
    <row r="117" spans="1:4" ht="20.25" x14ac:dyDescent="0.25">
      <c r="A117" s="94"/>
      <c r="B117" s="17"/>
      <c r="C117" s="25"/>
      <c r="D117" s="25"/>
    </row>
    <row r="118" spans="1:4" ht="20.25" x14ac:dyDescent="0.25">
      <c r="A118" s="94"/>
      <c r="B118" s="17"/>
      <c r="C118" s="25"/>
      <c r="D118" s="25"/>
    </row>
    <row r="119" spans="1:4" ht="20.25" x14ac:dyDescent="0.25">
      <c r="A119" s="94"/>
      <c r="B119" s="17"/>
      <c r="C119" s="25"/>
      <c r="D119" s="25"/>
    </row>
    <row r="120" spans="1:4" ht="20.25" x14ac:dyDescent="0.25">
      <c r="A120" s="94"/>
      <c r="B120" s="17"/>
      <c r="C120" s="25"/>
      <c r="D120" s="25"/>
    </row>
    <row r="121" spans="1:4" ht="20.25" x14ac:dyDescent="0.25">
      <c r="A121" s="94"/>
      <c r="B121" s="17"/>
      <c r="C121" s="25"/>
      <c r="D121" s="25"/>
    </row>
    <row r="122" spans="1:4" ht="20.25" x14ac:dyDescent="0.25">
      <c r="A122" s="94"/>
      <c r="B122" s="17"/>
      <c r="C122" s="25"/>
      <c r="D122" s="25"/>
    </row>
    <row r="123" spans="1:4" ht="20.25" x14ac:dyDescent="0.25">
      <c r="A123" s="94"/>
      <c r="B123" s="17"/>
      <c r="C123" s="25"/>
      <c r="D123" s="25"/>
    </row>
    <row r="124" spans="1:4" ht="20.25" x14ac:dyDescent="0.25">
      <c r="A124" s="94"/>
      <c r="B124" s="17"/>
      <c r="C124" s="25"/>
      <c r="D124" s="25"/>
    </row>
    <row r="125" spans="1:4" ht="20.25" x14ac:dyDescent="0.25">
      <c r="A125" s="94"/>
      <c r="B125" s="17"/>
      <c r="C125" s="25"/>
      <c r="D125" s="25"/>
    </row>
    <row r="126" spans="1:4" ht="20.25" x14ac:dyDescent="0.25">
      <c r="A126" s="94"/>
      <c r="B126" s="17"/>
      <c r="C126" s="25"/>
      <c r="D126" s="25"/>
    </row>
    <row r="127" spans="1:4" ht="20.25" x14ac:dyDescent="0.25">
      <c r="A127" s="94"/>
      <c r="B127" s="17"/>
      <c r="C127" s="25"/>
      <c r="D127" s="25"/>
    </row>
    <row r="128" spans="1:4" ht="20.25" x14ac:dyDescent="0.25">
      <c r="A128" s="94"/>
      <c r="B128" s="17"/>
      <c r="C128" s="25"/>
      <c r="D128" s="25"/>
    </row>
    <row r="129" spans="1:4" ht="20.25" x14ac:dyDescent="0.25">
      <c r="A129" s="94"/>
      <c r="B129" s="17"/>
      <c r="C129" s="25"/>
      <c r="D129" s="25"/>
    </row>
    <row r="130" spans="1:4" ht="20.25" x14ac:dyDescent="0.25">
      <c r="A130" s="94"/>
      <c r="B130" s="17"/>
      <c r="C130" s="25"/>
      <c r="D130" s="25"/>
    </row>
    <row r="131" spans="1:4" ht="20.25" x14ac:dyDescent="0.25">
      <c r="A131" s="94"/>
      <c r="B131" s="17"/>
      <c r="C131" s="25"/>
      <c r="D131" s="25"/>
    </row>
    <row r="132" spans="1:4" ht="20.25" x14ac:dyDescent="0.25">
      <c r="A132" s="94"/>
      <c r="B132" s="17"/>
      <c r="C132" s="25"/>
      <c r="D132" s="25"/>
    </row>
    <row r="133" spans="1:4" ht="20.25" x14ac:dyDescent="0.25">
      <c r="A133" s="94"/>
      <c r="B133" s="17"/>
      <c r="C133" s="25"/>
      <c r="D133" s="25"/>
    </row>
    <row r="134" spans="1:4" ht="20.25" x14ac:dyDescent="0.25">
      <c r="A134" s="94"/>
      <c r="B134" s="17"/>
      <c r="C134" s="25"/>
      <c r="D134" s="25"/>
    </row>
    <row r="135" spans="1:4" ht="20.25" x14ac:dyDescent="0.25">
      <c r="A135" s="94"/>
      <c r="B135" s="17"/>
      <c r="C135" s="25"/>
      <c r="D135" s="25"/>
    </row>
    <row r="136" spans="1:4" ht="20.25" x14ac:dyDescent="0.25">
      <c r="A136" s="94"/>
      <c r="B136" s="17"/>
      <c r="C136" s="25"/>
      <c r="D136" s="25"/>
    </row>
    <row r="137" spans="1:4" ht="20.25" x14ac:dyDescent="0.25">
      <c r="A137" s="94"/>
      <c r="B137" s="17"/>
      <c r="C137" s="25"/>
      <c r="D137" s="25"/>
    </row>
    <row r="138" spans="1:4" ht="20.25" x14ac:dyDescent="0.25">
      <c r="A138" s="94"/>
      <c r="B138" s="17"/>
      <c r="C138" s="25"/>
      <c r="D138" s="25"/>
    </row>
    <row r="139" spans="1:4" ht="20.25" x14ac:dyDescent="0.25">
      <c r="A139" s="94"/>
      <c r="B139" s="17"/>
      <c r="C139" s="25"/>
      <c r="D139" s="25"/>
    </row>
    <row r="140" spans="1:4" ht="20.25" x14ac:dyDescent="0.25">
      <c r="A140" s="94"/>
      <c r="B140" s="17"/>
      <c r="C140" s="25"/>
      <c r="D140" s="25"/>
    </row>
    <row r="141" spans="1:4" ht="20.25" x14ac:dyDescent="0.25">
      <c r="A141" s="94"/>
      <c r="B141" s="17"/>
      <c r="C141" s="25"/>
      <c r="D141" s="25"/>
    </row>
    <row r="142" spans="1:4" ht="20.25" x14ac:dyDescent="0.25">
      <c r="A142" s="94"/>
      <c r="B142" s="17"/>
      <c r="C142" s="25"/>
      <c r="D142" s="25"/>
    </row>
    <row r="143" spans="1:4" ht="20.25" x14ac:dyDescent="0.25">
      <c r="A143" s="94"/>
      <c r="B143" s="17"/>
      <c r="C143" s="25"/>
      <c r="D143" s="25"/>
    </row>
    <row r="144" spans="1:4" ht="20.25" x14ac:dyDescent="0.25">
      <c r="A144" s="94"/>
      <c r="B144" s="17"/>
      <c r="C144" s="25"/>
      <c r="D144" s="25"/>
    </row>
    <row r="145" spans="1:4" ht="20.25" x14ac:dyDescent="0.25">
      <c r="A145" s="94"/>
      <c r="B145" s="17"/>
      <c r="C145" s="25"/>
      <c r="D145" s="25"/>
    </row>
    <row r="146" spans="1:4" ht="20.25" x14ac:dyDescent="0.25">
      <c r="A146" s="94"/>
      <c r="B146" s="17"/>
      <c r="C146" s="25"/>
      <c r="D146" s="25"/>
    </row>
    <row r="147" spans="1:4" ht="20.25" x14ac:dyDescent="0.25">
      <c r="A147" s="94"/>
      <c r="B147" s="17"/>
      <c r="C147" s="25"/>
      <c r="D147" s="25"/>
    </row>
    <row r="148" spans="1:4" ht="20.25" x14ac:dyDescent="0.25">
      <c r="A148" s="94"/>
      <c r="B148" s="17"/>
      <c r="C148" s="25"/>
      <c r="D148" s="25"/>
    </row>
    <row r="149" spans="1:4" ht="20.25" x14ac:dyDescent="0.25">
      <c r="A149" s="94"/>
      <c r="B149" s="17"/>
      <c r="C149" s="25"/>
      <c r="D149" s="25"/>
    </row>
    <row r="150" spans="1:4" ht="20.25" x14ac:dyDescent="0.25">
      <c r="A150" s="94"/>
      <c r="B150" s="17"/>
      <c r="C150" s="25"/>
      <c r="D150" s="25"/>
    </row>
    <row r="151" spans="1:4" ht="20.25" x14ac:dyDescent="0.25">
      <c r="A151" s="94"/>
      <c r="B151" s="17"/>
      <c r="C151" s="25"/>
      <c r="D151" s="25"/>
    </row>
    <row r="152" spans="1:4" ht="20.25" x14ac:dyDescent="0.25">
      <c r="A152" s="94"/>
      <c r="B152" s="17"/>
      <c r="C152" s="25"/>
      <c r="D152" s="25"/>
    </row>
    <row r="153" spans="1:4" ht="20.25" x14ac:dyDescent="0.25">
      <c r="A153" s="94"/>
      <c r="B153" s="17"/>
      <c r="C153" s="25"/>
      <c r="D153" s="25"/>
    </row>
    <row r="154" spans="1:4" ht="20.25" x14ac:dyDescent="0.25">
      <c r="A154" s="94"/>
      <c r="B154" s="17"/>
      <c r="C154" s="25"/>
      <c r="D154" s="25"/>
    </row>
    <row r="155" spans="1:4" ht="20.25" x14ac:dyDescent="0.25">
      <c r="A155" s="94"/>
      <c r="B155" s="17"/>
      <c r="C155" s="25"/>
      <c r="D155" s="25"/>
    </row>
    <row r="156" spans="1:4" ht="20.25" x14ac:dyDescent="0.25">
      <c r="A156" s="94"/>
      <c r="B156" s="17"/>
      <c r="C156" s="25"/>
      <c r="D156" s="25"/>
    </row>
    <row r="157" spans="1:4" ht="20.25" x14ac:dyDescent="0.25">
      <c r="A157" s="94"/>
      <c r="B157" s="17"/>
      <c r="C157" s="25"/>
      <c r="D157" s="25"/>
    </row>
    <row r="158" spans="1:4" ht="20.25" x14ac:dyDescent="0.25">
      <c r="A158" s="94"/>
      <c r="B158" s="17"/>
      <c r="C158" s="25"/>
      <c r="D158" s="25"/>
    </row>
    <row r="159" spans="1:4" ht="20.25" x14ac:dyDescent="0.25">
      <c r="A159" s="94"/>
      <c r="B159" s="17"/>
      <c r="C159" s="25"/>
      <c r="D159" s="25"/>
    </row>
    <row r="160" spans="1:4" ht="20.25" x14ac:dyDescent="0.25">
      <c r="A160" s="94"/>
      <c r="B160" s="17"/>
      <c r="C160" s="25"/>
      <c r="D160" s="25"/>
    </row>
    <row r="161" spans="1:4" ht="20.25" x14ac:dyDescent="0.25">
      <c r="A161" s="94"/>
      <c r="B161" s="17"/>
      <c r="C161" s="25"/>
      <c r="D161" s="25"/>
    </row>
    <row r="162" spans="1:4" ht="20.25" x14ac:dyDescent="0.25">
      <c r="A162" s="94"/>
      <c r="B162" s="17"/>
      <c r="C162" s="25"/>
      <c r="D162" s="25"/>
    </row>
    <row r="163" spans="1:4" ht="20.25" x14ac:dyDescent="0.25">
      <c r="A163" s="94"/>
      <c r="B163" s="17"/>
      <c r="C163" s="25"/>
      <c r="D163" s="25"/>
    </row>
    <row r="164" spans="1:4" ht="20.25" x14ac:dyDescent="0.25">
      <c r="A164" s="94"/>
      <c r="B164" s="17"/>
      <c r="C164" s="25"/>
      <c r="D164" s="25"/>
    </row>
    <row r="165" spans="1:4" ht="20.25" x14ac:dyDescent="0.25">
      <c r="A165" s="94"/>
      <c r="B165" s="17"/>
      <c r="C165" s="25"/>
      <c r="D165" s="25"/>
    </row>
    <row r="166" spans="1:4" ht="20.25" x14ac:dyDescent="0.25">
      <c r="A166" s="94"/>
      <c r="B166" s="17"/>
      <c r="C166" s="25"/>
      <c r="D166" s="25"/>
    </row>
    <row r="167" spans="1:4" ht="20.25" x14ac:dyDescent="0.25">
      <c r="A167" s="94"/>
      <c r="B167" s="17"/>
      <c r="C167" s="25"/>
      <c r="D167" s="25"/>
    </row>
    <row r="168" spans="1:4" ht="20.25" x14ac:dyDescent="0.25">
      <c r="A168" s="94"/>
      <c r="B168" s="17"/>
      <c r="C168" s="25"/>
      <c r="D168" s="25"/>
    </row>
    <row r="169" spans="1:4" ht="20.25" x14ac:dyDescent="0.25">
      <c r="A169" s="94"/>
      <c r="B169" s="17"/>
      <c r="C169" s="25"/>
      <c r="D169" s="25"/>
    </row>
    <row r="170" spans="1:4" ht="20.25" x14ac:dyDescent="0.25">
      <c r="A170" s="94"/>
      <c r="B170" s="17"/>
      <c r="C170" s="25"/>
      <c r="D170" s="25"/>
    </row>
    <row r="171" spans="1:4" ht="20.25" x14ac:dyDescent="0.25">
      <c r="A171" s="94"/>
      <c r="B171" s="17"/>
      <c r="C171" s="25"/>
      <c r="D171" s="25"/>
    </row>
    <row r="172" spans="1:4" ht="20.25" x14ac:dyDescent="0.25">
      <c r="A172" s="94"/>
      <c r="B172" s="17"/>
      <c r="C172" s="25"/>
      <c r="D172" s="25"/>
    </row>
    <row r="173" spans="1:4" ht="20.25" x14ac:dyDescent="0.25">
      <c r="A173" s="94"/>
      <c r="B173" s="17"/>
      <c r="C173" s="25"/>
      <c r="D173" s="25"/>
    </row>
    <row r="174" spans="1:4" ht="20.25" x14ac:dyDescent="0.25">
      <c r="A174" s="94"/>
      <c r="B174" s="17"/>
      <c r="C174" s="25"/>
      <c r="D174" s="25"/>
    </row>
    <row r="175" spans="1:4" ht="20.25" x14ac:dyDescent="0.25">
      <c r="A175" s="94"/>
      <c r="B175" s="17"/>
      <c r="C175" s="25"/>
      <c r="D175" s="25"/>
    </row>
    <row r="176" spans="1:4" ht="20.25" x14ac:dyDescent="0.25">
      <c r="A176" s="94"/>
      <c r="B176" s="17"/>
      <c r="C176" s="25"/>
      <c r="D176" s="25"/>
    </row>
    <row r="177" spans="1:4" ht="20.25" x14ac:dyDescent="0.25">
      <c r="A177" s="94"/>
      <c r="B177" s="17"/>
      <c r="C177" s="25"/>
      <c r="D177" s="25"/>
    </row>
    <row r="178" spans="1:4" ht="20.25" x14ac:dyDescent="0.25">
      <c r="A178" s="94"/>
      <c r="B178" s="17"/>
      <c r="C178" s="25"/>
      <c r="D178" s="25"/>
    </row>
    <row r="179" spans="1:4" ht="20.25" x14ac:dyDescent="0.25">
      <c r="A179" s="94"/>
      <c r="B179" s="17"/>
      <c r="C179" s="25"/>
      <c r="D179" s="25"/>
    </row>
    <row r="180" spans="1:4" ht="20.25" x14ac:dyDescent="0.25">
      <c r="A180" s="94"/>
      <c r="B180" s="17"/>
      <c r="C180" s="25"/>
      <c r="D180" s="25"/>
    </row>
    <row r="181" spans="1:4" ht="20.25" x14ac:dyDescent="0.25">
      <c r="A181" s="94"/>
      <c r="B181" s="17"/>
      <c r="C181" s="25"/>
      <c r="D181" s="25"/>
    </row>
    <row r="182" spans="1:4" ht="20.25" x14ac:dyDescent="0.25">
      <c r="A182" s="94"/>
      <c r="B182" s="17"/>
      <c r="C182" s="25"/>
      <c r="D182" s="25"/>
    </row>
    <row r="183" spans="1:4" ht="20.25" x14ac:dyDescent="0.25">
      <c r="A183" s="94"/>
      <c r="B183" s="17"/>
      <c r="C183" s="25"/>
      <c r="D183" s="25"/>
    </row>
    <row r="184" spans="1:4" ht="20.25" x14ac:dyDescent="0.25">
      <c r="A184" s="94"/>
      <c r="B184" s="17"/>
      <c r="C184" s="25"/>
      <c r="D184" s="25"/>
    </row>
    <row r="185" spans="1:4" ht="20.25" x14ac:dyDescent="0.25">
      <c r="A185" s="94"/>
      <c r="B185" s="17"/>
      <c r="C185" s="25"/>
      <c r="D185" s="25"/>
    </row>
    <row r="186" spans="1:4" ht="20.25" x14ac:dyDescent="0.25">
      <c r="A186" s="94"/>
      <c r="B186" s="17"/>
      <c r="C186" s="25"/>
      <c r="D186" s="25"/>
    </row>
    <row r="187" spans="1:4" ht="20.25" x14ac:dyDescent="0.25">
      <c r="A187" s="94"/>
      <c r="B187" s="17"/>
      <c r="C187" s="25"/>
      <c r="D187" s="25"/>
    </row>
    <row r="188" spans="1:4" ht="20.25" x14ac:dyDescent="0.25">
      <c r="A188" s="94"/>
      <c r="B188" s="17"/>
      <c r="C188" s="25"/>
      <c r="D188" s="25"/>
    </row>
    <row r="189" spans="1:4" ht="20.25" x14ac:dyDescent="0.25">
      <c r="A189" s="94"/>
      <c r="B189" s="17"/>
      <c r="C189" s="25"/>
      <c r="D189" s="25"/>
    </row>
    <row r="190" spans="1:4" ht="20.25" x14ac:dyDescent="0.25">
      <c r="A190" s="94"/>
      <c r="B190" s="17"/>
      <c r="C190" s="25"/>
      <c r="D190" s="25"/>
    </row>
    <row r="191" spans="1:4" ht="20.25" x14ac:dyDescent="0.25">
      <c r="A191" s="94"/>
      <c r="B191" s="17"/>
      <c r="C191" s="25"/>
      <c r="D191" s="25"/>
    </row>
    <row r="192" spans="1:4" ht="20.25" x14ac:dyDescent="0.25">
      <c r="A192" s="94"/>
      <c r="B192" s="17"/>
      <c r="C192" s="25"/>
      <c r="D192" s="25"/>
    </row>
    <row r="193" spans="1:4" ht="20.25" x14ac:dyDescent="0.25">
      <c r="A193" s="94"/>
      <c r="B193" s="17"/>
      <c r="C193" s="25"/>
      <c r="D193" s="25"/>
    </row>
    <row r="194" spans="1:4" ht="20.25" x14ac:dyDescent="0.25">
      <c r="A194" s="94"/>
      <c r="B194" s="17"/>
      <c r="C194" s="25"/>
      <c r="D194" s="25"/>
    </row>
    <row r="195" spans="1:4" ht="20.25" x14ac:dyDescent="0.25">
      <c r="A195" s="94"/>
      <c r="B195" s="17"/>
      <c r="C195" s="25"/>
      <c r="D195" s="25"/>
    </row>
    <row r="196" spans="1:4" ht="20.25" x14ac:dyDescent="0.25">
      <c r="A196" s="94"/>
      <c r="B196" s="17"/>
      <c r="C196" s="25"/>
      <c r="D196" s="25"/>
    </row>
    <row r="197" spans="1:4" ht="20.25" x14ac:dyDescent="0.25">
      <c r="A197" s="94"/>
      <c r="B197" s="17"/>
      <c r="C197" s="25"/>
      <c r="D197" s="25"/>
    </row>
    <row r="198" spans="1:4" ht="20.25" x14ac:dyDescent="0.25">
      <c r="A198" s="94"/>
      <c r="B198" s="17"/>
      <c r="C198" s="25"/>
      <c r="D198" s="25"/>
    </row>
    <row r="199" spans="1:4" ht="20.25" x14ac:dyDescent="0.25">
      <c r="A199" s="94"/>
      <c r="B199" s="17"/>
      <c r="C199" s="25"/>
      <c r="D199" s="25"/>
    </row>
    <row r="200" spans="1:4" ht="20.25" x14ac:dyDescent="0.25">
      <c r="A200" s="94"/>
      <c r="B200" s="17"/>
      <c r="C200" s="25"/>
      <c r="D200" s="25"/>
    </row>
    <row r="201" spans="1:4" ht="20.25" x14ac:dyDescent="0.25">
      <c r="A201" s="94"/>
      <c r="B201" s="17"/>
      <c r="C201" s="25"/>
      <c r="D201" s="25"/>
    </row>
    <row r="202" spans="1:4" ht="20.25" x14ac:dyDescent="0.25">
      <c r="A202" s="94"/>
      <c r="B202" s="17"/>
      <c r="C202" s="25"/>
      <c r="D202" s="25"/>
    </row>
    <row r="203" spans="1:4" ht="20.25" x14ac:dyDescent="0.25">
      <c r="A203" s="94"/>
      <c r="B203" s="17"/>
      <c r="C203" s="25"/>
      <c r="D203" s="25"/>
    </row>
    <row r="204" spans="1:4" ht="20.25" x14ac:dyDescent="0.25">
      <c r="A204" s="94"/>
      <c r="B204" s="17"/>
      <c r="C204" s="25"/>
      <c r="D204" s="25"/>
    </row>
    <row r="205" spans="1:4" ht="20.25" x14ac:dyDescent="0.25">
      <c r="A205" s="94"/>
      <c r="B205" s="17"/>
      <c r="C205" s="25"/>
      <c r="D205" s="25"/>
    </row>
    <row r="206" spans="1:4" ht="20.25" x14ac:dyDescent="0.25">
      <c r="A206" s="94"/>
      <c r="B206" s="17"/>
      <c r="C206" s="25"/>
      <c r="D206" s="25"/>
    </row>
    <row r="207" spans="1:4" ht="20.25" x14ac:dyDescent="0.25">
      <c r="A207" s="94"/>
      <c r="B207" s="17"/>
      <c r="C207" s="25"/>
      <c r="D207" s="25"/>
    </row>
    <row r="208" spans="1:4" x14ac:dyDescent="0.25">
      <c r="A208" s="74"/>
      <c r="B208" s="17"/>
      <c r="C208" s="17"/>
      <c r="D208" s="17"/>
    </row>
    <row r="209" spans="1:8" ht="20.25" x14ac:dyDescent="0.25">
      <c r="A209" s="74"/>
      <c r="B209" s="21" t="s">
        <v>87</v>
      </c>
      <c r="C209" s="21" t="s">
        <v>142</v>
      </c>
      <c r="D209" s="24" t="s">
        <v>87</v>
      </c>
      <c r="E209" s="24" t="s">
        <v>142</v>
      </c>
    </row>
    <row r="210" spans="1:8" ht="21" x14ac:dyDescent="0.35">
      <c r="A210" s="74"/>
      <c r="B210" s="22" t="s">
        <v>89</v>
      </c>
      <c r="C210" s="22"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35">
      <c r="A211" s="74"/>
      <c r="B211" s="22" t="s">
        <v>89</v>
      </c>
      <c r="C211" s="22" t="s">
        <v>92</v>
      </c>
      <c r="E211" t="s">
        <v>57</v>
      </c>
      <c r="F211" t="str">
        <f t="shared" ref="F211:F221" si="0">IF(NOT(ISBLANK(D211)),D211,IF(NOT(ISBLANK(E211)),"     "&amp;E211,FALSE))</f>
        <v xml:space="preserve">     Afectación menor a 10 SMLMV .</v>
      </c>
    </row>
    <row r="212" spans="1:8" ht="21" x14ac:dyDescent="0.35">
      <c r="A212" s="74"/>
      <c r="B212" s="22" t="s">
        <v>89</v>
      </c>
      <c r="C212" s="22" t="s">
        <v>93</v>
      </c>
      <c r="E212" t="s">
        <v>92</v>
      </c>
      <c r="F212" t="str">
        <f t="shared" si="0"/>
        <v xml:space="preserve">     Entre 10 y 50 SMLMV </v>
      </c>
    </row>
    <row r="213" spans="1:8" ht="21" x14ac:dyDescent="0.35">
      <c r="A213" s="74"/>
      <c r="B213" s="22" t="s">
        <v>89</v>
      </c>
      <c r="C213" s="22" t="s">
        <v>94</v>
      </c>
      <c r="E213" t="s">
        <v>93</v>
      </c>
      <c r="F213" t="str">
        <f t="shared" si="0"/>
        <v xml:space="preserve">     Entre 50 y 100 SMLMV </v>
      </c>
    </row>
    <row r="214" spans="1:8" ht="21" x14ac:dyDescent="0.35">
      <c r="A214" s="74"/>
      <c r="B214" s="22" t="s">
        <v>89</v>
      </c>
      <c r="C214" s="22" t="s">
        <v>95</v>
      </c>
      <c r="E214" t="s">
        <v>94</v>
      </c>
      <c r="F214" t="str">
        <f t="shared" si="0"/>
        <v xml:space="preserve">     Entre 100 y 500 SMLMV </v>
      </c>
    </row>
    <row r="215" spans="1:8" ht="21" x14ac:dyDescent="0.35">
      <c r="A215" s="74"/>
      <c r="B215" s="22" t="s">
        <v>56</v>
      </c>
      <c r="C215" s="22" t="s">
        <v>96</v>
      </c>
      <c r="E215" t="s">
        <v>95</v>
      </c>
      <c r="F215" t="str">
        <f t="shared" si="0"/>
        <v xml:space="preserve">     Mayor a 500 SMLMV </v>
      </c>
    </row>
    <row r="216" spans="1:8" ht="21" x14ac:dyDescent="0.35">
      <c r="A216" s="74"/>
      <c r="B216" s="22" t="s">
        <v>56</v>
      </c>
      <c r="C216" s="22" t="s">
        <v>97</v>
      </c>
      <c r="D216" t="s">
        <v>56</v>
      </c>
      <c r="F216" t="str">
        <f t="shared" si="0"/>
        <v>Pérdida Reputacional</v>
      </c>
    </row>
    <row r="217" spans="1:8" ht="21" x14ac:dyDescent="0.35">
      <c r="A217" s="74"/>
      <c r="B217" s="22" t="s">
        <v>56</v>
      </c>
      <c r="C217" s="22" t="s">
        <v>99</v>
      </c>
      <c r="E217" t="s">
        <v>96</v>
      </c>
      <c r="F217" t="str">
        <f t="shared" si="0"/>
        <v xml:space="preserve">     El riesgo afecta la imagen de alguna área de la organización</v>
      </c>
    </row>
    <row r="218" spans="1:8" ht="21" x14ac:dyDescent="0.35">
      <c r="A218" s="74"/>
      <c r="B218" s="22" t="s">
        <v>56</v>
      </c>
      <c r="C218" s="22" t="s">
        <v>98</v>
      </c>
      <c r="E218" t="s">
        <v>97</v>
      </c>
      <c r="F218" t="str">
        <f t="shared" si="0"/>
        <v xml:space="preserve">     El riesgo afecta la imagen de la entidad internamente, de conocimiento general, nivel interno, de junta dircetiva y accionistas y/o de provedores</v>
      </c>
    </row>
    <row r="219" spans="1:8" ht="21" x14ac:dyDescent="0.35">
      <c r="A219" s="74"/>
      <c r="B219" s="22" t="s">
        <v>56</v>
      </c>
      <c r="C219" s="22" t="s">
        <v>117</v>
      </c>
      <c r="E219" t="s">
        <v>99</v>
      </c>
      <c r="F219" t="str">
        <f t="shared" si="0"/>
        <v xml:space="preserve">     El riesgo afecta la imagen de la entidad con algunos usuarios de relevancia frente al logro de los objetivos</v>
      </c>
    </row>
    <row r="220" spans="1:8" x14ac:dyDescent="0.25">
      <c r="A220" s="74"/>
      <c r="B220" s="23"/>
      <c r="C220" s="23"/>
      <c r="E220" t="s">
        <v>98</v>
      </c>
      <c r="F220" t="str">
        <f t="shared" si="0"/>
        <v xml:space="preserve">     El riesgo afecta la imagen de de la entidad con efecto publicitario sostenido a nivel de sector administrativo, nivel departamental o municipal</v>
      </c>
    </row>
    <row r="221" spans="1:8" x14ac:dyDescent="0.25">
      <c r="A221" s="74"/>
      <c r="B221" s="23" t="str">
        <f t="array" ref="B221:B223">_xlfn.UNIQUE('Tabla Impacto'!$B$209:$B$219)</f>
        <v>Criterios</v>
      </c>
      <c r="C221" s="23"/>
      <c r="E221" t="s">
        <v>117</v>
      </c>
      <c r="F221" t="str">
        <f t="shared" si="0"/>
        <v xml:space="preserve">     El riesgo afecta la imagen de la entidad a nivel nacional, con efecto publicitarios sostenible a nivel país</v>
      </c>
    </row>
    <row r="222" spans="1:8" x14ac:dyDescent="0.25">
      <c r="A222" s="74"/>
      <c r="B222" s="23" t="str">
        <v>Afectación Económica o presupuestal</v>
      </c>
      <c r="C222" s="23"/>
    </row>
    <row r="223" spans="1:8" x14ac:dyDescent="0.25">
      <c r="B223" s="23" t="str">
        <v>Pérdida Reputacional</v>
      </c>
      <c r="C223" s="23"/>
      <c r="F223" s="26" t="s">
        <v>144</v>
      </c>
    </row>
    <row r="224" spans="1:8" x14ac:dyDescent="0.25">
      <c r="B224" s="16"/>
      <c r="C224" s="16"/>
      <c r="F224" s="26" t="s">
        <v>145</v>
      </c>
    </row>
    <row r="225" spans="2:4" x14ac:dyDescent="0.25">
      <c r="B225" s="16"/>
      <c r="C225" s="16"/>
    </row>
    <row r="226" spans="2:4" x14ac:dyDescent="0.25">
      <c r="B226" s="16"/>
      <c r="C226" s="16"/>
    </row>
    <row r="227" spans="2:4" x14ac:dyDescent="0.25">
      <c r="B227" s="16"/>
      <c r="C227" s="16"/>
      <c r="D227" s="16"/>
    </row>
    <row r="228" spans="2:4" x14ac:dyDescent="0.25">
      <c r="B228" s="16"/>
      <c r="C228" s="16"/>
      <c r="D228" s="16"/>
    </row>
    <row r="229" spans="2:4" x14ac:dyDescent="0.25">
      <c r="B229" s="16"/>
      <c r="C229" s="16"/>
      <c r="D229" s="16"/>
    </row>
    <row r="230" spans="2:4" x14ac:dyDescent="0.25">
      <c r="B230" s="16"/>
      <c r="C230" s="16"/>
      <c r="D230" s="16"/>
    </row>
    <row r="231" spans="2:4" x14ac:dyDescent="0.25">
      <c r="B231" s="16"/>
      <c r="C231" s="16"/>
      <c r="D231" s="16"/>
    </row>
    <row r="232" spans="2:4" x14ac:dyDescent="0.25">
      <c r="B232" s="16"/>
      <c r="C232" s="16"/>
      <c r="D232" s="16"/>
    </row>
  </sheetData>
  <mergeCells count="1">
    <mergeCell ref="B1:D1"/>
  </mergeCells>
  <dataValidations disablePrompts="1" count="1">
    <dataValidation type="list" allowBlank="1" showInputMessage="1" showErrorMessage="1" sqref="G210" xr:uid="{1640A154-E6F4-B34B-B072-CBB675EEDC63}">
      <formula1>$F$210:$F$221</formula1>
    </dataValidation>
  </dataValidations>
  <pageMargins left="0.7" right="0.7" top="0.75" bottom="0.75" header="0.3" footer="0.3"/>
  <pageSetup orientation="portrait"/>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B42BC-71AA-0548-8470-294EB644A896}">
  <sheetPr>
    <tabColor theme="7" tint="-0.249977111117893"/>
  </sheetPr>
  <dimension ref="B1:F16"/>
  <sheetViews>
    <sheetView workbookViewId="0">
      <selection activeCell="B9" sqref="B9:B14"/>
    </sheetView>
  </sheetViews>
  <sheetFormatPr baseColWidth="10" defaultColWidth="14.28515625" defaultRowHeight="12.75" x14ac:dyDescent="0.2"/>
  <cols>
    <col min="1" max="2" width="14.28515625" style="79"/>
    <col min="3" max="3" width="17" style="79" customWidth="1"/>
    <col min="4" max="4" width="14.28515625" style="79"/>
    <col min="5" max="5" width="46" style="79" customWidth="1"/>
    <col min="6" max="16384" width="14.28515625" style="79"/>
  </cols>
  <sheetData>
    <row r="1" spans="2:6" ht="24" customHeight="1" thickBot="1" x14ac:dyDescent="0.25">
      <c r="B1" s="443" t="s">
        <v>77</v>
      </c>
      <c r="C1" s="444"/>
      <c r="D1" s="444"/>
      <c r="E1" s="444"/>
      <c r="F1" s="445"/>
    </row>
    <row r="2" spans="2:6" ht="16.5" thickBot="1" x14ac:dyDescent="0.3">
      <c r="B2" s="80"/>
      <c r="C2" s="80"/>
      <c r="D2" s="80"/>
      <c r="E2" s="80"/>
      <c r="F2" s="80"/>
    </row>
    <row r="3" spans="2:6" ht="16.5" thickBot="1" x14ac:dyDescent="0.25">
      <c r="B3" s="447" t="s">
        <v>63</v>
      </c>
      <c r="C3" s="448"/>
      <c r="D3" s="448"/>
      <c r="E3" s="92" t="s">
        <v>64</v>
      </c>
      <c r="F3" s="93" t="s">
        <v>65</v>
      </c>
    </row>
    <row r="4" spans="2:6" ht="31.5" x14ac:dyDescent="0.2">
      <c r="B4" s="449" t="s">
        <v>66</v>
      </c>
      <c r="C4" s="451" t="s">
        <v>13</v>
      </c>
      <c r="D4" s="81" t="s">
        <v>14</v>
      </c>
      <c r="E4" s="82" t="s">
        <v>67</v>
      </c>
      <c r="F4" s="83">
        <v>0.25</v>
      </c>
    </row>
    <row r="5" spans="2:6" ht="47.25" x14ac:dyDescent="0.2">
      <c r="B5" s="450"/>
      <c r="C5" s="452"/>
      <c r="D5" s="84" t="s">
        <v>15</v>
      </c>
      <c r="E5" s="85" t="s">
        <v>68</v>
      </c>
      <c r="F5" s="86">
        <v>0.15</v>
      </c>
    </row>
    <row r="6" spans="2:6" ht="47.25" x14ac:dyDescent="0.2">
      <c r="B6" s="450"/>
      <c r="C6" s="452"/>
      <c r="D6" s="84" t="s">
        <v>16</v>
      </c>
      <c r="E6" s="85" t="s">
        <v>69</v>
      </c>
      <c r="F6" s="86">
        <v>0.1</v>
      </c>
    </row>
    <row r="7" spans="2:6" ht="63" x14ac:dyDescent="0.2">
      <c r="B7" s="450"/>
      <c r="C7" s="452" t="s">
        <v>17</v>
      </c>
      <c r="D7" s="84" t="s">
        <v>10</v>
      </c>
      <c r="E7" s="85" t="s">
        <v>70</v>
      </c>
      <c r="F7" s="86">
        <v>0.25</v>
      </c>
    </row>
    <row r="8" spans="2:6" ht="31.5" x14ac:dyDescent="0.2">
      <c r="B8" s="450"/>
      <c r="C8" s="452"/>
      <c r="D8" s="84" t="s">
        <v>9</v>
      </c>
      <c r="E8" s="85" t="s">
        <v>71</v>
      </c>
      <c r="F8" s="86">
        <v>0.15</v>
      </c>
    </row>
    <row r="9" spans="2:6" ht="47.25" x14ac:dyDescent="0.2">
      <c r="B9" s="450" t="s">
        <v>159</v>
      </c>
      <c r="C9" s="452" t="s">
        <v>18</v>
      </c>
      <c r="D9" s="84" t="s">
        <v>19</v>
      </c>
      <c r="E9" s="85" t="s">
        <v>72</v>
      </c>
      <c r="F9" s="87" t="s">
        <v>73</v>
      </c>
    </row>
    <row r="10" spans="2:6" ht="63" x14ac:dyDescent="0.2">
      <c r="B10" s="450"/>
      <c r="C10" s="452"/>
      <c r="D10" s="84" t="s">
        <v>20</v>
      </c>
      <c r="E10" s="85" t="s">
        <v>74</v>
      </c>
      <c r="F10" s="87" t="s">
        <v>73</v>
      </c>
    </row>
    <row r="11" spans="2:6" ht="47.25" x14ac:dyDescent="0.2">
      <c r="B11" s="450"/>
      <c r="C11" s="452" t="s">
        <v>21</v>
      </c>
      <c r="D11" s="84" t="s">
        <v>22</v>
      </c>
      <c r="E11" s="85" t="s">
        <v>75</v>
      </c>
      <c r="F11" s="87" t="s">
        <v>73</v>
      </c>
    </row>
    <row r="12" spans="2:6" ht="47.25" x14ac:dyDescent="0.2">
      <c r="B12" s="450"/>
      <c r="C12" s="452"/>
      <c r="D12" s="84" t="s">
        <v>23</v>
      </c>
      <c r="E12" s="85" t="s">
        <v>76</v>
      </c>
      <c r="F12" s="87" t="s">
        <v>73</v>
      </c>
    </row>
    <row r="13" spans="2:6" ht="31.5" x14ac:dyDescent="0.2">
      <c r="B13" s="450"/>
      <c r="C13" s="452" t="s">
        <v>24</v>
      </c>
      <c r="D13" s="84" t="s">
        <v>118</v>
      </c>
      <c r="E13" s="85" t="s">
        <v>121</v>
      </c>
      <c r="F13" s="87" t="s">
        <v>73</v>
      </c>
    </row>
    <row r="14" spans="2:6" ht="32.25" thickBot="1" x14ac:dyDescent="0.25">
      <c r="B14" s="453"/>
      <c r="C14" s="454"/>
      <c r="D14" s="88" t="s">
        <v>119</v>
      </c>
      <c r="E14" s="89" t="s">
        <v>120</v>
      </c>
      <c r="F14" s="90" t="s">
        <v>73</v>
      </c>
    </row>
    <row r="15" spans="2:6" ht="49.5" customHeight="1" x14ac:dyDescent="0.2">
      <c r="B15" s="446" t="s">
        <v>156</v>
      </c>
      <c r="C15" s="446"/>
      <c r="D15" s="446"/>
      <c r="E15" s="446"/>
      <c r="F15" s="446"/>
    </row>
    <row r="16" spans="2:6" ht="27" customHeight="1" x14ac:dyDescent="0.25">
      <c r="B16" s="9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962C3-C518-7D4F-B285-E091CE9CACFA}">
  <dimension ref="B2:E19"/>
  <sheetViews>
    <sheetView topLeftCell="A4" workbookViewId="0">
      <selection activeCell="B13" sqref="B13:B19"/>
    </sheetView>
  </sheetViews>
  <sheetFormatPr baseColWidth="10" defaultRowHeight="15" x14ac:dyDescent="0.25"/>
  <sheetData>
    <row r="2" spans="2:5" x14ac:dyDescent="0.25">
      <c r="B2" t="s">
        <v>31</v>
      </c>
      <c r="E2" t="s">
        <v>131</v>
      </c>
    </row>
    <row r="3" spans="2:5" x14ac:dyDescent="0.25">
      <c r="B3" t="s">
        <v>32</v>
      </c>
      <c r="E3" t="s">
        <v>130</v>
      </c>
    </row>
    <row r="4" spans="2:5" x14ac:dyDescent="0.25">
      <c r="B4" t="s">
        <v>135</v>
      </c>
      <c r="E4" t="s">
        <v>132</v>
      </c>
    </row>
    <row r="5" spans="2:5" x14ac:dyDescent="0.25">
      <c r="B5" t="s">
        <v>134</v>
      </c>
    </row>
    <row r="8" spans="2:5" x14ac:dyDescent="0.25">
      <c r="B8" t="s">
        <v>85</v>
      </c>
    </row>
    <row r="9" spans="2:5" x14ac:dyDescent="0.25">
      <c r="B9" t="s">
        <v>40</v>
      </c>
    </row>
    <row r="10" spans="2:5" x14ac:dyDescent="0.25">
      <c r="B10" t="s">
        <v>41</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Control de cambio</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Florez Tavera</dc:creator>
  <cp:lastModifiedBy>TALENTO01 DTB</cp:lastModifiedBy>
  <cp:lastPrinted>2020-05-13T01:12:22Z</cp:lastPrinted>
  <dcterms:created xsi:type="dcterms:W3CDTF">2020-03-24T23:12:47Z</dcterms:created>
  <dcterms:modified xsi:type="dcterms:W3CDTF">2025-09-09T15:42:21Z</dcterms:modified>
</cp:coreProperties>
</file>